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5" firstSheet="1" activeTab="4"/>
  </bookViews>
  <sheets>
    <sheet name="工程总概算" sheetId="1" state="hidden" r:id="rId1"/>
    <sheet name="建筑工程" sheetId="2" r:id="rId2"/>
    <sheet name="机电" sheetId="3" state="hidden" r:id="rId3"/>
    <sheet name="金结" sheetId="4" r:id="rId4"/>
    <sheet name="临时" sheetId="5" r:id="rId5"/>
    <sheet name="独立" sheetId="6" state="hidden" r:id="rId6"/>
    <sheet name="价格汇总" sheetId="7" state="hidden" r:id="rId7"/>
    <sheet name="台时汇总" sheetId="8" state="hidden" r:id="rId8"/>
    <sheet name="工时" sheetId="9" state="hidden" r:id="rId9"/>
    <sheet name="人工" sheetId="10" state="hidden" r:id="rId10"/>
    <sheet name="砂浆" sheetId="11" state="hidden" r:id="rId11"/>
    <sheet name="混凝土空蚀" sheetId="12" state="hidden" r:id="rId12"/>
    <sheet name="混凝土1" sheetId="13" state="hidden" r:id="rId13"/>
    <sheet name="干砌石护坡" sheetId="14" state="hidden" r:id="rId14"/>
    <sheet name="干砌石护底" sheetId="15" state="hidden" r:id="rId15"/>
    <sheet name="补人工单位价" sheetId="16" state="hidden" r:id="rId16"/>
    <sheet name="预制砼板" sheetId="17" state="hidden" r:id="rId17"/>
    <sheet name="建筑物土方回填" sheetId="18" state="hidden" r:id="rId18"/>
    <sheet name="土方填筑" sheetId="19" state="hidden" r:id="rId19"/>
    <sheet name="清基" sheetId="20" state="hidden" r:id="rId20"/>
    <sheet name="土方开挖（外运3）" sheetId="21" state="hidden" r:id="rId21"/>
    <sheet name="电缆沟开挖" sheetId="22" state="hidden" r:id="rId22"/>
    <sheet name="浆砌石拆除" sheetId="23" state="hidden" r:id="rId23"/>
    <sheet name="电缆敷设" sheetId="24" state="hidden" r:id="rId24"/>
    <sheet name="砂砾石路基" sheetId="25" state="hidden" r:id="rId25"/>
    <sheet name="沥青木板" sheetId="26" state="hidden" r:id="rId26"/>
    <sheet name="砂浆抹面" sheetId="27" state="hidden" r:id="rId27"/>
    <sheet name="浆砌石挡土墙" sheetId="28" state="hidden" r:id="rId28"/>
    <sheet name="机械拆砼" sheetId="29" state="hidden" r:id="rId29"/>
    <sheet name="人工拆砼 " sheetId="30" state="hidden" r:id="rId30"/>
    <sheet name="底板砼" sheetId="31" state="hidden" r:id="rId31"/>
    <sheet name="模板" sheetId="32" state="hidden" r:id="rId32"/>
    <sheet name="格宾石笼" sheetId="33" state="hidden" r:id="rId33"/>
    <sheet name="工程量明细表 (加长后再加厚11)" sheetId="34" state="hidden" r:id="rId34"/>
    <sheet name="工程量明细表 (加长后再加厚)" sheetId="35" state="hidden" r:id="rId35"/>
    <sheet name="工程量明细表 (加长后)" sheetId="36" state="hidden" r:id="rId36"/>
    <sheet name="格宾石笼利用" sheetId="37" state="hidden" r:id="rId37"/>
    <sheet name="素砼" sheetId="38" state="hidden" r:id="rId38"/>
    <sheet name="闸墩" sheetId="39" state="hidden" r:id="rId39"/>
    <sheet name="排架砼" sheetId="40" state="hidden" r:id="rId40"/>
    <sheet name="挡土墙砼" sheetId="41" state="hidden" r:id="rId41"/>
    <sheet name="洞身砼" sheetId="42" state="hidden" r:id="rId42"/>
    <sheet name="橡胶止水" sheetId="43" state="hidden" r:id="rId43"/>
    <sheet name="围堰" sheetId="44" state="hidden" r:id="rId44"/>
    <sheet name="围堰拆除" sheetId="45" state="hidden" r:id="rId45"/>
    <sheet name="砂砾石路面" sheetId="46" state="hidden" r:id="rId46"/>
    <sheet name="碎石路基" sheetId="47" state="hidden" r:id="rId47"/>
    <sheet name="台时-1" sheetId="48" state="hidden" r:id="rId48"/>
    <sheet name="台时-2" sheetId="49" state="hidden" r:id="rId49"/>
    <sheet name="台时-3" sheetId="50" state="hidden" r:id="rId50"/>
    <sheet name="台时-4" sheetId="51" state="hidden" r:id="rId51"/>
    <sheet name="闸工程量" sheetId="52" state="hidden" r:id="rId52"/>
    <sheet name="种草" sheetId="53" state="hidden" r:id="rId53"/>
    <sheet name="护坡（改后）" sheetId="54" state="hidden" r:id="rId54"/>
    <sheet name="护岸工程量" sheetId="55" state="hidden" r:id="rId55"/>
    <sheet name="防洪墙（改后）" sheetId="56" state="hidden" r:id="rId56"/>
    <sheet name="防洪墙工程量" sheetId="57" state="hidden" r:id="rId57"/>
    <sheet name="工程量汇总表" sheetId="58" state="hidden" r:id="rId58"/>
    <sheet name="监理费计算标准" sheetId="59" state="hidden" r:id="rId59"/>
    <sheet name="水撼砂" sheetId="60" state="hidden" r:id="rId60"/>
    <sheet name="筑坝（6km）" sheetId="61" state="hidden" r:id="rId61"/>
    <sheet name="坝体削坡" sheetId="62" state="hidden" r:id="rId62"/>
    <sheet name="初级工" sheetId="63" state="hidden" r:id="rId63"/>
    <sheet name="中级工" sheetId="64" state="hidden" r:id="rId64"/>
    <sheet name="高级工" sheetId="65" state="hidden" r:id="rId65"/>
    <sheet name="工长" sheetId="66" state="hidden" r:id="rId66"/>
    <sheet name="Sheet1" sheetId="67" state="hidden" r:id="rId67"/>
  </sheets>
  <externalReferences>
    <externalReference r:id="rId70"/>
    <externalReference r:id="rId71"/>
    <externalReference r:id="rId72"/>
  </externalReferences>
  <definedNames>
    <definedName name="_xlnm.Print_Area" localSheetId="0">'工程总概算'!$A$1:$F$26</definedName>
    <definedName name="_xlnm.Print_Area" localSheetId="8">'工时'!$A$1:$G$136</definedName>
    <definedName name="_xlnm.Print_Area" localSheetId="1">'建筑工程'!$A$1:$F$94</definedName>
    <definedName name="_xlnm.Print_Area" localSheetId="17">'建筑物土方回填'!$A$1:$F$29</definedName>
    <definedName name="_xlnm.Print_Area" localSheetId="20">'土方开挖（外运3）'!$A$1:$F$28</definedName>
    <definedName name="_xlnm.Print_Area" localSheetId="43">'围堰'!$A$1:$F$28</definedName>
    <definedName name="_xlnm.Print_Titles" localSheetId="8">'工时'!$1:$4</definedName>
    <definedName name="_xlnm.Print_Titles" localSheetId="1">'建筑工程'!$1:$3</definedName>
  </definedNames>
  <calcPr fullCalcOnLoad="1"/>
</workbook>
</file>

<file path=xl/sharedStrings.xml><?xml version="1.0" encoding="utf-8"?>
<sst xmlns="http://schemas.openxmlformats.org/spreadsheetml/2006/main" count="4018" uniqueCount="854">
  <si>
    <t>工程总概算表</t>
  </si>
  <si>
    <t>单位：万元</t>
  </si>
  <si>
    <t>序号</t>
  </si>
  <si>
    <t>工程或费用名称</t>
  </si>
  <si>
    <r>
      <t>建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安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工程费</t>
    </r>
  </si>
  <si>
    <t>设备购置费</t>
  </si>
  <si>
    <t>独立费用</t>
  </si>
  <si>
    <r>
      <t>合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计</t>
    </r>
  </si>
  <si>
    <t>Ⅰ</t>
  </si>
  <si>
    <t>工程部分投资</t>
  </si>
  <si>
    <t>第一部分 建筑工程</t>
  </si>
  <si>
    <t>一</t>
  </si>
  <si>
    <t>堤防工程</t>
  </si>
  <si>
    <t>二</t>
  </si>
  <si>
    <t>护岸工程</t>
  </si>
  <si>
    <t>第二部分 机电设备及安装工程</t>
  </si>
  <si>
    <t>第三部分 金属结构及安装工程</t>
  </si>
  <si>
    <t>第四部分 施工临时工程</t>
  </si>
  <si>
    <t>导流工程</t>
  </si>
  <si>
    <t>施工交通工程</t>
  </si>
  <si>
    <t>房屋建筑工程</t>
  </si>
  <si>
    <t>三</t>
  </si>
  <si>
    <t>其它部分临时工程</t>
  </si>
  <si>
    <t>第五部分 独立费用</t>
  </si>
  <si>
    <t>建设管理费</t>
  </si>
  <si>
    <t>工程监理费</t>
  </si>
  <si>
    <t>勘测设计费</t>
  </si>
  <si>
    <t>一至五部分投资合计</t>
  </si>
  <si>
    <t>基本预备费</t>
  </si>
  <si>
    <t>静态总投资</t>
  </si>
  <si>
    <t>Ⅱ</t>
  </si>
  <si>
    <t>建设征地补偿费</t>
  </si>
  <si>
    <t>Ⅲ</t>
  </si>
  <si>
    <t>环境保护工程投资</t>
  </si>
  <si>
    <t>Ⅳ</t>
  </si>
  <si>
    <t>水土保持工程投资</t>
  </si>
  <si>
    <t>∑</t>
  </si>
  <si>
    <t>总投资</t>
  </si>
  <si>
    <t>编号</t>
  </si>
  <si>
    <t>I</t>
  </si>
  <si>
    <t>工程养护</t>
  </si>
  <si>
    <t>II</t>
  </si>
  <si>
    <r>
      <t xml:space="preserve">     </t>
    </r>
    <r>
      <rPr>
        <b/>
        <sz val="16"/>
        <rFont val="宋体"/>
        <family val="0"/>
      </rPr>
      <t>建筑工程分部预算表</t>
    </r>
  </si>
  <si>
    <t>单位</t>
  </si>
  <si>
    <t>数量</t>
  </si>
  <si>
    <t>单价（元）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</si>
  <si>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（万元）</t>
    </r>
  </si>
  <si>
    <r>
      <t>第一部分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建筑工程</t>
    </r>
  </si>
  <si>
    <t>南大排水库</t>
  </si>
  <si>
    <t>（一）</t>
  </si>
  <si>
    <t>打草</t>
  </si>
  <si>
    <t>杂草修剪（三遍）</t>
  </si>
  <si>
    <r>
      <t>m</t>
    </r>
    <r>
      <rPr>
        <vertAlign val="superscript"/>
        <sz val="10"/>
        <rFont val="宋体"/>
        <family val="0"/>
      </rPr>
      <t>2</t>
    </r>
  </si>
  <si>
    <t>（三）</t>
  </si>
  <si>
    <t>闸门启闭设备养护</t>
  </si>
  <si>
    <t>组</t>
  </si>
  <si>
    <t>黑山头水库</t>
  </si>
  <si>
    <t>（二）</t>
  </si>
  <si>
    <t>十里河水库</t>
  </si>
  <si>
    <r>
      <t>m</t>
    </r>
    <r>
      <rPr>
        <vertAlign val="superscript"/>
        <sz val="10.5"/>
        <color indexed="8"/>
        <rFont val="Times New Roman"/>
        <family val="1"/>
      </rPr>
      <t>2</t>
    </r>
  </si>
  <si>
    <t>四</t>
  </si>
  <si>
    <t>阿凌达湖水库</t>
  </si>
  <si>
    <t>五</t>
  </si>
  <si>
    <t>都柿沟水库</t>
  </si>
  <si>
    <t>六</t>
  </si>
  <si>
    <t>新一水库</t>
  </si>
  <si>
    <t>七</t>
  </si>
  <si>
    <t>平原水库</t>
  </si>
  <si>
    <t>八</t>
  </si>
  <si>
    <t>元宝山水库</t>
  </si>
  <si>
    <t>启闭机螺杆修复</t>
  </si>
  <si>
    <t>启闭机螺杆调直</t>
  </si>
  <si>
    <t>处</t>
  </si>
  <si>
    <t>维修项目</t>
  </si>
  <si>
    <t>输水洞下游护坡维修</t>
  </si>
  <si>
    <t>m</t>
  </si>
  <si>
    <t>修坡整形</t>
  </si>
  <si>
    <r>
      <t>m</t>
    </r>
    <r>
      <rPr>
        <vertAlign val="superscript"/>
        <sz val="11"/>
        <color indexed="8"/>
        <rFont val="宋体"/>
        <family val="0"/>
      </rPr>
      <t>3</t>
    </r>
  </si>
  <si>
    <t>固脚土方开挖</t>
  </si>
  <si>
    <t>固脚土方回填</t>
  </si>
  <si>
    <t>砌石拆除</t>
  </si>
  <si>
    <t>铅丝石笼护坡</t>
  </si>
  <si>
    <t>护坡砂砾石垫层</t>
  </si>
  <si>
    <t>护坡无纺布</t>
  </si>
  <si>
    <r>
      <t>m</t>
    </r>
    <r>
      <rPr>
        <vertAlign val="superscript"/>
        <sz val="11"/>
        <color indexed="8"/>
        <rFont val="宋体"/>
        <family val="0"/>
      </rPr>
      <t>2</t>
    </r>
  </si>
  <si>
    <t>铅丝石笼固脚</t>
  </si>
  <si>
    <t>溢洪道海漫段护坡维修</t>
  </si>
  <si>
    <t>铅丝石笼护坡（块石重复利用）</t>
  </si>
  <si>
    <t>砂砾石垫层</t>
  </si>
  <si>
    <t>无纺布</t>
  </si>
  <si>
    <t>溢洪道海漫段抛石护底维修</t>
  </si>
  <si>
    <t>护底抛石拆除</t>
  </si>
  <si>
    <t>护底抛石</t>
  </si>
  <si>
    <t>护底砂砾石垫层</t>
  </si>
  <si>
    <t>护底无纺布</t>
  </si>
  <si>
    <t>阿凌达河水库</t>
  </si>
  <si>
    <t>建设护栏</t>
  </si>
  <si>
    <t>基础土方开挖</t>
  </si>
  <si>
    <t>基础土方回填</t>
  </si>
  <si>
    <t>混凝土基础</t>
  </si>
  <si>
    <t>护栏制安</t>
  </si>
  <si>
    <t>t</t>
  </si>
  <si>
    <t>输水洞尾水渠护砌</t>
  </si>
  <si>
    <t>土方开挖</t>
  </si>
  <si>
    <r>
      <t>m</t>
    </r>
    <r>
      <rPr>
        <vertAlign val="superscript"/>
        <sz val="10.5"/>
        <color indexed="8"/>
        <rFont val="Times New Roman"/>
        <family val="1"/>
      </rPr>
      <t>3</t>
    </r>
  </si>
  <si>
    <t>机电设备及安装工程分部概算表</t>
  </si>
  <si>
    <t>合计（万元）</t>
  </si>
  <si>
    <t>设备</t>
  </si>
  <si>
    <t>安装</t>
  </si>
  <si>
    <t>第二部分机电设备及安装工程</t>
  </si>
  <si>
    <t>观测设施维修养护</t>
  </si>
  <si>
    <t>工日</t>
  </si>
  <si>
    <t>机电设备维修养护</t>
  </si>
  <si>
    <t>电动机维修养护</t>
  </si>
  <si>
    <t>操作系统维修养护</t>
  </si>
  <si>
    <t>配电设施维修养护</t>
  </si>
  <si>
    <t>输变电系统维修养护</t>
  </si>
  <si>
    <t>避雷设施维修养护</t>
  </si>
  <si>
    <t>自备发电机组维修养护</t>
  </si>
  <si>
    <t>千瓦</t>
  </si>
  <si>
    <t>金属结构及安装工程分部预算表</t>
  </si>
  <si>
    <t>单  价（元）</t>
  </si>
  <si>
    <t>合  计（万元）</t>
  </si>
  <si>
    <t>第三部分：金属结构设备安装工程</t>
  </si>
  <si>
    <t>输水洞启闭机更换</t>
  </si>
  <si>
    <t>台</t>
  </si>
  <si>
    <t>闸门螺杆更换</t>
  </si>
  <si>
    <t>根</t>
  </si>
  <si>
    <t>小计</t>
  </si>
  <si>
    <t>综合运杂费用 (5.94%)</t>
  </si>
  <si>
    <t>闸门维修养护</t>
  </si>
  <si>
    <t>止水更换长度</t>
  </si>
  <si>
    <t>防腐处理面积</t>
  </si>
  <si>
    <r>
      <t>m</t>
    </r>
    <r>
      <rPr>
        <vertAlign val="superscript"/>
        <sz val="11"/>
        <rFont val="宋体"/>
        <family val="0"/>
      </rPr>
      <t>2</t>
    </r>
  </si>
  <si>
    <t>启闭机维修养护</t>
  </si>
  <si>
    <t>机体表面防腐处理</t>
  </si>
  <si>
    <t>钢丝绳维修养护</t>
  </si>
  <si>
    <t>传（制）动系统维修养护</t>
  </si>
  <si>
    <t>检修闸门维修</t>
  </si>
  <si>
    <t>扇</t>
  </si>
  <si>
    <t>临时工程预算表</t>
  </si>
  <si>
    <r>
      <t xml:space="preserve">  </t>
    </r>
    <r>
      <rPr>
        <sz val="11"/>
        <rFont val="宋体"/>
        <family val="0"/>
      </rPr>
      <t>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</si>
  <si>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t>第四部分临时工程</t>
  </si>
  <si>
    <t>石头河1号闸</t>
  </si>
  <si>
    <t>编织袋围堰填筑</t>
  </si>
  <si>
    <r>
      <t>m</t>
    </r>
    <r>
      <rPr>
        <vertAlign val="superscript"/>
        <sz val="11"/>
        <rFont val="Times New Roman"/>
        <family val="1"/>
      </rPr>
      <t>3</t>
    </r>
  </si>
  <si>
    <t>围堰拆除（外运3km）</t>
  </si>
  <si>
    <r>
      <t>一</t>
    </r>
    <r>
      <rPr>
        <sz val="11"/>
        <rFont val="宋体"/>
        <family val="0"/>
      </rPr>
      <t xml:space="preserve"> </t>
    </r>
  </si>
  <si>
    <t>围堰工程</t>
  </si>
  <si>
    <t>新一水库围堰及拆除</t>
  </si>
  <si>
    <t>平原水库围堰及拆除</t>
  </si>
  <si>
    <t>其他施工临时工程</t>
  </si>
  <si>
    <t>项</t>
  </si>
  <si>
    <t>独立费用预算表</t>
  </si>
  <si>
    <r>
      <t>金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额（万元）</t>
    </r>
  </si>
  <si>
    <t>第五部分  独立费用</t>
  </si>
  <si>
    <t>%</t>
  </si>
  <si>
    <r>
      <t>二</t>
    </r>
    <r>
      <rPr>
        <sz val="10"/>
        <rFont val="宋体"/>
        <family val="0"/>
      </rPr>
      <t xml:space="preserve"> </t>
    </r>
  </si>
  <si>
    <t>工程勘测设计费</t>
  </si>
  <si>
    <t>设计费</t>
  </si>
  <si>
    <t>单位：元</t>
  </si>
  <si>
    <t>名称</t>
  </si>
  <si>
    <t>人工费</t>
  </si>
  <si>
    <t>材料费</t>
  </si>
  <si>
    <t>机械费</t>
  </si>
  <si>
    <t>其他直接费</t>
  </si>
  <si>
    <t>间接费</t>
  </si>
  <si>
    <t>税金</t>
  </si>
  <si>
    <t>土方填筑</t>
  </si>
  <si>
    <t>碎石垫层</t>
  </si>
  <si>
    <t>浆砌石挡土墙</t>
  </si>
  <si>
    <t>素砼垫层</t>
  </si>
  <si>
    <t>挡土墙砼</t>
  </si>
  <si>
    <t>闸墩砼</t>
  </si>
  <si>
    <t>橡胶止水</t>
  </si>
  <si>
    <t>100m</t>
  </si>
  <si>
    <t>伸缩缝</t>
  </si>
  <si>
    <t>模板</t>
  </si>
  <si>
    <t>碎石路基</t>
  </si>
  <si>
    <t>台时</t>
  </si>
  <si>
    <t>水撼砂</t>
  </si>
  <si>
    <t>砂浆抹面</t>
  </si>
  <si>
    <t>坝体削坡</t>
  </si>
  <si>
    <t>主要材料预算价格汇总表</t>
  </si>
  <si>
    <t>名称及规格</t>
  </si>
  <si>
    <t>预算单价</t>
  </si>
  <si>
    <r>
      <t>其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中</t>
    </r>
  </si>
  <si>
    <t>原价</t>
  </si>
  <si>
    <t>运杂费</t>
  </si>
  <si>
    <t>运输保险费</t>
  </si>
  <si>
    <t>采购及保险费</t>
  </si>
  <si>
    <t>水泥（32.5）</t>
  </si>
  <si>
    <t>T</t>
  </si>
  <si>
    <t>水泥（42.5）</t>
  </si>
  <si>
    <t>钢筋</t>
  </si>
  <si>
    <t>成材</t>
  </si>
  <si>
    <r>
      <t>m</t>
    </r>
    <r>
      <rPr>
        <vertAlign val="superscript"/>
        <sz val="12"/>
        <rFont val="Times New Roman"/>
        <family val="1"/>
      </rPr>
      <t>3</t>
    </r>
  </si>
  <si>
    <t>原木</t>
  </si>
  <si>
    <t>块石</t>
  </si>
  <si>
    <t>碎石</t>
  </si>
  <si>
    <t>中砂</t>
  </si>
  <si>
    <t>山砂</t>
  </si>
  <si>
    <t>粗砂</t>
  </si>
  <si>
    <t>柴油</t>
  </si>
  <si>
    <t>汽油</t>
  </si>
  <si>
    <t>施工机械台时费汇总表</t>
  </si>
  <si>
    <t>台时费</t>
  </si>
  <si>
    <t>折旧费</t>
  </si>
  <si>
    <t>修理及替换设备费</t>
  </si>
  <si>
    <t>安拆费</t>
  </si>
  <si>
    <t>动力燃料费</t>
  </si>
  <si>
    <r>
      <t>1m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挖掘机</t>
    </r>
  </si>
  <si>
    <t>推土机59kw</t>
  </si>
  <si>
    <r>
      <t>推土机</t>
    </r>
    <r>
      <rPr>
        <sz val="12"/>
        <rFont val="宋体"/>
        <family val="0"/>
      </rPr>
      <t>74kw</t>
    </r>
  </si>
  <si>
    <r>
      <t>推土机1</t>
    </r>
    <r>
      <rPr>
        <sz val="12"/>
        <rFont val="宋体"/>
        <family val="0"/>
      </rPr>
      <t>03kw</t>
    </r>
  </si>
  <si>
    <t>拖拉机74kw</t>
  </si>
  <si>
    <t>刨毛机</t>
  </si>
  <si>
    <t>蛙式打夯机2.8kw</t>
  </si>
  <si>
    <r>
      <t>混凝土搅拌机0.4m</t>
    </r>
    <r>
      <rPr>
        <vertAlign val="superscript"/>
        <sz val="12"/>
        <rFont val="宋体"/>
        <family val="0"/>
      </rPr>
      <t>3</t>
    </r>
  </si>
  <si>
    <r>
      <t>振动器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插入式</t>
    </r>
    <r>
      <rPr>
        <sz val="12"/>
        <rFont val="宋体"/>
        <family val="0"/>
      </rPr>
      <t xml:space="preserve"> 1.1kw</t>
    </r>
  </si>
  <si>
    <r>
      <t>振动器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插入式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1.5kw</t>
    </r>
  </si>
  <si>
    <r>
      <t>变频机组8</t>
    </r>
    <r>
      <rPr>
        <sz val="12"/>
        <rFont val="宋体"/>
        <family val="0"/>
      </rPr>
      <t>.5kVA</t>
    </r>
  </si>
  <si>
    <r>
      <t>风（砂）水枪6m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/min</t>
    </r>
  </si>
  <si>
    <t>载重汽车5t</t>
  </si>
  <si>
    <t>自卸汽车8t</t>
  </si>
  <si>
    <r>
      <t>自卸汽车1</t>
    </r>
    <r>
      <rPr>
        <sz val="12"/>
        <rFont val="宋体"/>
        <family val="0"/>
      </rPr>
      <t>0</t>
    </r>
    <r>
      <rPr>
        <sz val="12"/>
        <rFont val="宋体"/>
        <family val="0"/>
      </rPr>
      <t>t</t>
    </r>
  </si>
  <si>
    <t>洒水车4t</t>
  </si>
  <si>
    <t>胶轮车</t>
  </si>
  <si>
    <r>
      <t xml:space="preserve">机动翻斗车 </t>
    </r>
    <r>
      <rPr>
        <sz val="12"/>
        <rFont val="宋体"/>
        <family val="0"/>
      </rPr>
      <t>1t</t>
    </r>
  </si>
  <si>
    <r>
      <t>塔式起重机1</t>
    </r>
    <r>
      <rPr>
        <sz val="12"/>
        <rFont val="宋体"/>
        <family val="0"/>
      </rPr>
      <t>0t</t>
    </r>
  </si>
  <si>
    <r>
      <t>汽车起重机5</t>
    </r>
    <r>
      <rPr>
        <sz val="12"/>
        <rFont val="宋体"/>
        <family val="0"/>
      </rPr>
      <t>t</t>
    </r>
  </si>
  <si>
    <r>
      <t>电焊机</t>
    </r>
    <r>
      <rPr>
        <sz val="12"/>
        <rFont val="Times New Roman"/>
        <family val="1"/>
      </rPr>
      <t>25kVA</t>
    </r>
  </si>
  <si>
    <r>
      <t>对焊机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型</t>
    </r>
  </si>
  <si>
    <r>
      <t>钢筋弯曲机φ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40</t>
    </r>
  </si>
  <si>
    <r>
      <t>钢筋切断机</t>
    </r>
    <r>
      <rPr>
        <sz val="12"/>
        <rFont val="Times New Roman"/>
        <family val="1"/>
      </rPr>
      <t>20kw</t>
    </r>
  </si>
  <si>
    <r>
      <t>钢筋调直机</t>
    </r>
    <r>
      <rPr>
        <sz val="12"/>
        <rFont val="Times New Roman"/>
        <family val="1"/>
      </rPr>
      <t xml:space="preserve">   14kw</t>
    </r>
  </si>
  <si>
    <r>
      <t>移动式空压机</t>
    </r>
    <r>
      <rPr>
        <sz val="10"/>
        <rFont val="Times New Roman"/>
        <family val="1"/>
      </rPr>
      <t>9m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</si>
  <si>
    <t>离心水泵单级11～17kw　</t>
  </si>
  <si>
    <t>柴油发电机（移动式）60kw</t>
  </si>
  <si>
    <r>
      <t>污水泵2</t>
    </r>
    <r>
      <rPr>
        <sz val="12"/>
        <rFont val="宋体"/>
        <family val="0"/>
      </rPr>
      <t>2</t>
    </r>
    <r>
      <rPr>
        <sz val="12"/>
        <rFont val="宋体"/>
        <family val="0"/>
      </rPr>
      <t>kw</t>
    </r>
  </si>
  <si>
    <r>
      <t>卷扬机</t>
    </r>
    <r>
      <rPr>
        <sz val="12"/>
        <rFont val="Times New Roman"/>
        <family val="1"/>
      </rPr>
      <t>3t</t>
    </r>
  </si>
  <si>
    <t>电动葫芦</t>
  </si>
  <si>
    <t>压路机</t>
  </si>
  <si>
    <t>圆盘锯</t>
  </si>
  <si>
    <t>双面刨床</t>
  </si>
  <si>
    <r>
      <t xml:space="preserve">型钢剪断机 </t>
    </r>
    <r>
      <rPr>
        <sz val="12"/>
        <rFont val="宋体"/>
        <family val="0"/>
      </rPr>
      <t>13kW</t>
    </r>
  </si>
  <si>
    <t>雷诺护垫</t>
  </si>
  <si>
    <t>混凝土</t>
  </si>
  <si>
    <t>沥青木板</t>
  </si>
  <si>
    <t>备注</t>
  </si>
  <si>
    <t>工程量</t>
  </si>
  <si>
    <t>定额</t>
  </si>
  <si>
    <t>主体工程工时数量汇总表</t>
  </si>
  <si>
    <t>规格及名称</t>
  </si>
  <si>
    <t>工时数量</t>
  </si>
  <si>
    <r>
      <t>第一部分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建筑工程</t>
    </r>
  </si>
  <si>
    <t>人工预算单价计算标准</t>
  </si>
  <si>
    <t>鹤岗市属于二类区</t>
  </si>
  <si>
    <t>地区与类别</t>
  </si>
  <si>
    <t>人工预算单价</t>
  </si>
  <si>
    <t>河道工程</t>
  </si>
  <si>
    <t>二类区</t>
  </si>
  <si>
    <t>工长</t>
  </si>
  <si>
    <t>元/工时</t>
  </si>
  <si>
    <t>高级工</t>
  </si>
  <si>
    <t>中级工</t>
  </si>
  <si>
    <t>初级工</t>
  </si>
  <si>
    <t>砂</t>
  </si>
  <si>
    <t>项目名称</t>
  </si>
  <si>
    <t>建筑工程单价表</t>
  </si>
  <si>
    <t>M10水泥砂浆</t>
  </si>
  <si>
    <t>00001</t>
  </si>
  <si>
    <r>
      <t>m</t>
    </r>
    <r>
      <rPr>
        <vertAlign val="superscript"/>
        <sz val="12"/>
        <rFont val="宋体"/>
        <family val="0"/>
      </rPr>
      <t>3</t>
    </r>
  </si>
  <si>
    <t>水泥强度为32.5</t>
  </si>
  <si>
    <t>单位　</t>
  </si>
  <si>
    <t>单价</t>
  </si>
  <si>
    <t>合计</t>
  </si>
  <si>
    <r>
      <t>水泥3</t>
    </r>
    <r>
      <rPr>
        <sz val="12"/>
        <rFont val="宋体"/>
        <family val="0"/>
      </rPr>
      <t>2.5</t>
    </r>
  </si>
  <si>
    <t>水</t>
  </si>
  <si>
    <t xml:space="preserve">    定额编号：</t>
  </si>
  <si>
    <r>
      <t>项目：</t>
    </r>
    <r>
      <rPr>
        <b/>
        <u val="single"/>
        <sz val="12"/>
        <rFont val="宋体"/>
        <family val="0"/>
      </rPr>
      <t>M15水泥砂浆</t>
    </r>
  </si>
  <si>
    <r>
      <t>定额单位：</t>
    </r>
    <r>
      <rPr>
        <u val="single"/>
        <sz val="10"/>
        <rFont val="宋体"/>
        <family val="0"/>
      </rPr>
      <t>m</t>
    </r>
    <r>
      <rPr>
        <vertAlign val="superscript"/>
        <sz val="10"/>
        <rFont val="宋体"/>
        <family val="0"/>
      </rPr>
      <t>3</t>
    </r>
  </si>
  <si>
    <t>M15水泥砂浆</t>
  </si>
  <si>
    <r>
      <t>k</t>
    </r>
    <r>
      <rPr>
        <sz val="12"/>
        <rFont val="宋体"/>
        <family val="0"/>
      </rPr>
      <t>g</t>
    </r>
  </si>
  <si>
    <t>混凝土空蚀剥蚀磨损处理</t>
  </si>
  <si>
    <t>定额编号：30068</t>
  </si>
  <si>
    <r>
      <t>定额单位：100m</t>
    </r>
    <r>
      <rPr>
        <vertAlign val="superscript"/>
        <sz val="12"/>
        <rFont val="宋体"/>
        <family val="0"/>
      </rPr>
      <t>2</t>
    </r>
  </si>
  <si>
    <r>
      <t>施工方法：人工抹面，平均厚度2</t>
    </r>
    <r>
      <rPr>
        <sz val="12"/>
        <rFont val="宋体"/>
        <family val="0"/>
      </rPr>
      <t>cm平面</t>
    </r>
  </si>
  <si>
    <t>合计（元）</t>
  </si>
  <si>
    <t>直接工程费</t>
  </si>
  <si>
    <t>直接费</t>
  </si>
  <si>
    <t>工时</t>
  </si>
  <si>
    <t>环氧砂浆</t>
  </si>
  <si>
    <t>其它材料费</t>
  </si>
  <si>
    <t>机械使用费</t>
  </si>
  <si>
    <r>
      <t>混凝土搅拌机 0.4m</t>
    </r>
    <r>
      <rPr>
        <vertAlign val="superscript"/>
        <sz val="12"/>
        <rFont val="宋体"/>
        <family val="0"/>
      </rPr>
      <t>3</t>
    </r>
  </si>
  <si>
    <t>企业利润</t>
  </si>
  <si>
    <t>价差</t>
  </si>
  <si>
    <r>
      <t>定额编号：40100 40171×1.03 40193×1.03 40208×1.03 G</t>
    </r>
    <r>
      <rPr>
        <sz val="12"/>
        <rFont val="宋体"/>
        <family val="0"/>
      </rPr>
      <t>B</t>
    </r>
    <r>
      <rPr>
        <sz val="12"/>
        <rFont val="宋体"/>
        <family val="0"/>
      </rPr>
      <t>4004×0.2</t>
    </r>
  </si>
  <si>
    <r>
      <t>定额单位：100m</t>
    </r>
    <r>
      <rPr>
        <vertAlign val="superscript"/>
        <sz val="12"/>
        <rFont val="宋体"/>
        <family val="0"/>
      </rPr>
      <t>3</t>
    </r>
  </si>
  <si>
    <r>
      <t>施工方法：风钻钻孔、人工凿除混凝土，</t>
    </r>
    <r>
      <rPr>
        <sz val="12"/>
        <rFont val="宋体"/>
        <family val="0"/>
      </rPr>
      <t>1.1kW 振动器振捣,搅拌机拌制混凝土,机动翻斗车运输,运距 200m,泻槽运送,泻槽斜长 5m</t>
    </r>
  </si>
  <si>
    <t>合金钻头</t>
  </si>
  <si>
    <t>个</t>
  </si>
  <si>
    <t>空心钢</t>
  </si>
  <si>
    <t>混凝土C25 F200 2级配</t>
  </si>
  <si>
    <t>风钻 手持式</t>
  </si>
  <si>
    <t>风稿</t>
  </si>
  <si>
    <r>
      <t>振动器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插入式</t>
    </r>
    <r>
      <rPr>
        <sz val="12"/>
        <rFont val="Times New Roman"/>
        <family val="1"/>
      </rPr>
      <t xml:space="preserve">  1.1kw</t>
    </r>
  </si>
  <si>
    <r>
      <t>风（砂）水枪 6m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/min</t>
    </r>
  </si>
  <si>
    <t>机动翻斗车  1t</t>
  </si>
  <si>
    <t>其它机械费</t>
  </si>
  <si>
    <t>护坡干砌石</t>
  </si>
  <si>
    <t>定额编号：30017</t>
  </si>
  <si>
    <t>施工方法：人工砌筑，护坡平面。</t>
  </si>
  <si>
    <t>基本直接费</t>
  </si>
  <si>
    <t>其他材料费</t>
  </si>
  <si>
    <t>零星材料费</t>
  </si>
  <si>
    <r>
      <t>挖掘机1m</t>
    </r>
    <r>
      <rPr>
        <vertAlign val="superscript"/>
        <sz val="12"/>
        <rFont val="宋体"/>
        <family val="0"/>
      </rPr>
      <t>3</t>
    </r>
  </si>
  <si>
    <t>其他机械费</t>
  </si>
  <si>
    <t>干砌石护底</t>
  </si>
  <si>
    <r>
      <t>定额编号：3001</t>
    </r>
    <r>
      <rPr>
        <sz val="12"/>
        <rFont val="宋体"/>
        <family val="0"/>
      </rPr>
      <t>9</t>
    </r>
  </si>
  <si>
    <t>施工方法：人工砌筑，护底。</t>
  </si>
  <si>
    <t>安装工程单价表</t>
  </si>
  <si>
    <t>定额编号：补人工单价</t>
  </si>
  <si>
    <t>定额单位：工日</t>
  </si>
  <si>
    <t>施工方法：人工</t>
  </si>
  <si>
    <r>
      <t>预制砼板（2</t>
    </r>
    <r>
      <rPr>
        <b/>
        <sz val="16"/>
        <rFont val="宋体"/>
        <family val="0"/>
      </rPr>
      <t>0cm）</t>
    </r>
  </si>
  <si>
    <r>
      <t>定额编号：40112 40270×0.95  GB</t>
    </r>
    <r>
      <rPr>
        <sz val="12"/>
        <rFont val="宋体"/>
        <family val="0"/>
      </rPr>
      <t>4004×0.2</t>
    </r>
  </si>
  <si>
    <r>
      <t>施工方法：风钻钻孔、人工凿除混凝土，0.4m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搅拌机拌制混凝土,胶轮车运输,平板式2.2</t>
    </r>
    <r>
      <rPr>
        <sz val="12"/>
        <rFont val="宋体"/>
        <family val="0"/>
      </rPr>
      <t>kW振动器振捣,厚度</t>
    </r>
    <r>
      <rPr>
        <sz val="12"/>
        <rFont val="宋体"/>
        <family val="0"/>
      </rPr>
      <t>16～20cm，</t>
    </r>
    <r>
      <rPr>
        <sz val="12"/>
        <rFont val="宋体"/>
        <family val="0"/>
      </rPr>
      <t>载重汽车运预制混凝土构件，运距</t>
    </r>
    <r>
      <rPr>
        <sz val="12"/>
        <rFont val="宋体"/>
        <family val="0"/>
      </rPr>
      <t>1km</t>
    </r>
  </si>
  <si>
    <t>铁件</t>
  </si>
  <si>
    <t>kg</t>
  </si>
  <si>
    <t>钢模板</t>
  </si>
  <si>
    <t>锯材</t>
  </si>
  <si>
    <r>
      <t>平板振动器</t>
    </r>
    <r>
      <rPr>
        <sz val="12"/>
        <rFont val="Times New Roman"/>
        <family val="1"/>
      </rPr>
      <t xml:space="preserve"> 2.2kw</t>
    </r>
  </si>
  <si>
    <r>
      <t xml:space="preserve">汽车起重机 </t>
    </r>
    <r>
      <rPr>
        <sz val="12"/>
        <rFont val="宋体"/>
        <family val="0"/>
      </rPr>
      <t>5t</t>
    </r>
  </si>
  <si>
    <r>
      <t>载重汽车5</t>
    </r>
    <r>
      <rPr>
        <sz val="12"/>
        <rFont val="宋体"/>
        <family val="0"/>
      </rPr>
      <t>t</t>
    </r>
  </si>
  <si>
    <t>载重汽车10t</t>
  </si>
  <si>
    <t>塔式起重机10t</t>
  </si>
  <si>
    <t>建筑物回填</t>
  </si>
  <si>
    <t>00005</t>
  </si>
  <si>
    <t>预10465×1.03</t>
  </si>
  <si>
    <r>
      <t>实方100m</t>
    </r>
    <r>
      <rPr>
        <vertAlign val="superscript"/>
        <sz val="12"/>
        <rFont val="宋体"/>
        <family val="0"/>
      </rPr>
      <t>3</t>
    </r>
  </si>
  <si>
    <t>施工方法：建筑物回填土石，机械夯实。</t>
  </si>
  <si>
    <t>00006</t>
  </si>
  <si>
    <r>
      <t>10622</t>
    </r>
    <r>
      <rPr>
        <sz val="12"/>
        <rFont val="宋体"/>
        <family val="0"/>
      </rPr>
      <t>×1.18 30075</t>
    </r>
    <r>
      <rPr>
        <sz val="12"/>
        <rFont val="宋体"/>
        <family val="0"/>
      </rPr>
      <t xml:space="preserve">  10526×0.2</t>
    </r>
  </si>
  <si>
    <r>
      <t>1</t>
    </r>
    <r>
      <rPr>
        <sz val="12"/>
        <rFont val="宋体"/>
        <family val="0"/>
      </rPr>
      <t>00m</t>
    </r>
    <r>
      <rPr>
        <vertAlign val="superscript"/>
        <sz val="12"/>
        <rFont val="宋体"/>
        <family val="0"/>
      </rPr>
      <t>3</t>
    </r>
  </si>
  <si>
    <r>
      <t>施工方法：1m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挖掘机开挖（Ⅲ类土），土石坝物料压实（自料场直接运输上坝）（干密度16.67kN/m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  <r>
      <rPr>
        <sz val="12"/>
        <rFont val="宋体"/>
        <family val="0"/>
      </rPr>
      <t>。</t>
    </r>
  </si>
  <si>
    <r>
      <t xml:space="preserve">工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长</t>
    </r>
  </si>
  <si>
    <r>
      <t xml:space="preserve">挖掘机 </t>
    </r>
    <r>
      <rPr>
        <sz val="12"/>
        <rFont val="宋体"/>
        <family val="0"/>
      </rPr>
      <t>1m</t>
    </r>
    <r>
      <rPr>
        <vertAlign val="superscript"/>
        <sz val="12"/>
        <rFont val="宋体"/>
        <family val="0"/>
      </rPr>
      <t>3</t>
    </r>
  </si>
  <si>
    <t>推土机 59kW</t>
  </si>
  <si>
    <r>
      <t xml:space="preserve">自卸汽车 </t>
    </r>
    <r>
      <rPr>
        <sz val="12"/>
        <rFont val="宋体"/>
        <family val="0"/>
      </rPr>
      <t>10</t>
    </r>
    <r>
      <rPr>
        <sz val="12"/>
        <rFont val="宋体"/>
        <family val="0"/>
      </rPr>
      <t>t</t>
    </r>
  </si>
  <si>
    <r>
      <t xml:space="preserve">推土机 </t>
    </r>
    <r>
      <rPr>
        <sz val="12"/>
        <rFont val="宋体"/>
        <family val="0"/>
      </rPr>
      <t>103</t>
    </r>
    <r>
      <rPr>
        <sz val="12"/>
        <rFont val="宋体"/>
        <family val="0"/>
      </rPr>
      <t>kW</t>
    </r>
  </si>
  <si>
    <t>拖拉机 74kw</t>
  </si>
  <si>
    <t>推土机 74kW</t>
  </si>
  <si>
    <t>清基</t>
  </si>
  <si>
    <r>
      <t>施工方法：103kw推土机推表（Ⅰ-Ⅱ类）土，距离</t>
    </r>
    <r>
      <rPr>
        <sz val="12"/>
        <rFont val="宋体"/>
        <family val="0"/>
      </rPr>
      <t>6</t>
    </r>
    <r>
      <rPr>
        <sz val="12"/>
        <rFont val="宋体"/>
        <family val="0"/>
      </rPr>
      <t>0m。</t>
    </r>
  </si>
  <si>
    <r>
      <t xml:space="preserve">推土机 </t>
    </r>
    <r>
      <rPr>
        <sz val="12"/>
        <rFont val="宋体"/>
        <family val="0"/>
      </rPr>
      <t>103kW</t>
    </r>
  </si>
  <si>
    <r>
      <t>施工方法：1m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挖掘机开挖（Ⅲ类土）。</t>
    </r>
  </si>
  <si>
    <r>
      <t>土方开挖（外运3km</t>
    </r>
    <r>
      <rPr>
        <sz val="12"/>
        <rFont val="宋体"/>
        <family val="0"/>
      </rPr>
      <t>）</t>
    </r>
  </si>
  <si>
    <r>
      <t>0000</t>
    </r>
    <r>
      <rPr>
        <sz val="12"/>
        <rFont val="宋体"/>
        <family val="0"/>
      </rPr>
      <t>8</t>
    </r>
  </si>
  <si>
    <r>
      <t>10624</t>
    </r>
    <r>
      <rPr>
        <sz val="12"/>
        <rFont val="宋体"/>
        <family val="0"/>
      </rPr>
      <t>-3</t>
    </r>
  </si>
  <si>
    <r>
      <t>施工方法：1m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挖掘机开挖（Ⅲ类土），</t>
    </r>
    <r>
      <rPr>
        <sz val="12"/>
        <rFont val="宋体"/>
        <family val="0"/>
      </rPr>
      <t>10t自卸汽车运输，运距3km</t>
    </r>
  </si>
  <si>
    <r>
      <t>挖掘机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1</t>
    </r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3</t>
    </r>
  </si>
  <si>
    <r>
      <t xml:space="preserve"> 推土机</t>
    </r>
    <r>
      <rPr>
        <sz val="12"/>
        <rFont val="宋体"/>
        <family val="0"/>
      </rPr>
      <t>59</t>
    </r>
    <r>
      <rPr>
        <sz val="12"/>
        <rFont val="宋体"/>
        <family val="0"/>
      </rPr>
      <t>kw</t>
    </r>
  </si>
  <si>
    <r>
      <t>自卸汽车</t>
    </r>
    <r>
      <rPr>
        <sz val="12"/>
        <rFont val="宋体"/>
        <family val="0"/>
      </rPr>
      <t xml:space="preserve">  10t</t>
    </r>
  </si>
  <si>
    <t xml:space="preserve"> 合计</t>
  </si>
  <si>
    <r>
      <t>10002*0.2+10</t>
    </r>
    <r>
      <rPr>
        <sz val="12"/>
        <rFont val="宋体"/>
        <family val="0"/>
      </rPr>
      <t>557</t>
    </r>
    <r>
      <rPr>
        <sz val="12"/>
        <rFont val="宋体"/>
        <family val="0"/>
      </rPr>
      <t>*0.8</t>
    </r>
  </si>
  <si>
    <r>
      <t>0000</t>
    </r>
    <r>
      <rPr>
        <sz val="12"/>
        <rFont val="宋体"/>
        <family val="0"/>
      </rPr>
      <t>9</t>
    </r>
  </si>
  <si>
    <t>浆砌石挡土墙拆除</t>
  </si>
  <si>
    <t>施工方法：人工拆除浆砌石挡土墙。</t>
  </si>
  <si>
    <t>地埋电缆敷设</t>
  </si>
  <si>
    <r>
      <t>000</t>
    </r>
    <r>
      <rPr>
        <sz val="12"/>
        <rFont val="宋体"/>
        <family val="0"/>
      </rPr>
      <t>10</t>
    </r>
  </si>
  <si>
    <t>借土地-100052</t>
  </si>
  <si>
    <r>
      <t>1</t>
    </r>
    <r>
      <rPr>
        <sz val="12"/>
        <rFont val="宋体"/>
        <family val="0"/>
      </rPr>
      <t>00m</t>
    </r>
  </si>
  <si>
    <t>施工方法：开盘、检查、架线盘、敷设、锯断、配合实验、临时封头、挂标牌等。</t>
  </si>
  <si>
    <t xml:space="preserve"> 材料费</t>
  </si>
  <si>
    <t>电缆（KVV-450/750V-4×10mm2）</t>
  </si>
  <si>
    <t>螺栓</t>
  </si>
  <si>
    <t>油漆</t>
  </si>
  <si>
    <r>
      <t>电缆卡子1</t>
    </r>
    <r>
      <rPr>
        <sz val="12"/>
        <rFont val="宋体"/>
        <family val="0"/>
      </rPr>
      <t>.5*40</t>
    </r>
  </si>
  <si>
    <t>电缆吊挂</t>
  </si>
  <si>
    <t>套</t>
  </si>
  <si>
    <r>
      <t>1</t>
    </r>
    <r>
      <rPr>
        <sz val="12"/>
        <rFont val="宋体"/>
        <family val="0"/>
      </rPr>
      <t>00m</t>
    </r>
    <r>
      <rPr>
        <vertAlign val="superscript"/>
        <sz val="12"/>
        <rFont val="宋体"/>
        <family val="0"/>
      </rPr>
      <t>2</t>
    </r>
  </si>
  <si>
    <r>
      <t>m</t>
    </r>
    <r>
      <rPr>
        <vertAlign val="superscript"/>
        <sz val="12"/>
        <rFont val="Times New Roman"/>
        <family val="1"/>
      </rPr>
      <t>2</t>
    </r>
  </si>
  <si>
    <r>
      <t>0001</t>
    </r>
    <r>
      <rPr>
        <sz val="12"/>
        <rFont val="宋体"/>
        <family val="0"/>
      </rPr>
      <t>1</t>
    </r>
  </si>
  <si>
    <t>施工方法：人工填筑碎石料、压实、修坡。</t>
  </si>
  <si>
    <t>施工方法：人工填筑砂砾石料、压实、修坡。</t>
  </si>
  <si>
    <t>砂砾石</t>
  </si>
  <si>
    <r>
      <t>100m</t>
    </r>
    <r>
      <rPr>
        <vertAlign val="superscript"/>
        <sz val="12"/>
        <rFont val="宋体"/>
        <family val="0"/>
      </rPr>
      <t>2</t>
    </r>
  </si>
  <si>
    <r>
      <t>内燃压路机1</t>
    </r>
    <r>
      <rPr>
        <sz val="12"/>
        <rFont val="宋体"/>
        <family val="0"/>
      </rPr>
      <t>2-15t</t>
    </r>
  </si>
  <si>
    <r>
      <t>0001</t>
    </r>
    <r>
      <rPr>
        <sz val="12"/>
        <rFont val="宋体"/>
        <family val="0"/>
      </rPr>
      <t>2</t>
    </r>
  </si>
  <si>
    <r>
      <t>施工方法：人工木板制作，熔化、涂沥青，安装</t>
    </r>
    <r>
      <rPr>
        <sz val="12"/>
        <rFont val="宋体"/>
        <family val="0"/>
      </rPr>
      <t>。</t>
    </r>
  </si>
  <si>
    <t>沥青</t>
  </si>
  <si>
    <t>木柴</t>
  </si>
  <si>
    <t>施工方法：冲洗、抹灰、压光。</t>
  </si>
  <si>
    <r>
      <t>砂浆M</t>
    </r>
    <r>
      <rPr>
        <sz val="12"/>
        <rFont val="宋体"/>
        <family val="0"/>
      </rPr>
      <t>10</t>
    </r>
  </si>
  <si>
    <r>
      <t>砂浆搅拌机</t>
    </r>
    <r>
      <rPr>
        <sz val="12"/>
        <rFont val="Times New Roman"/>
        <family val="1"/>
      </rPr>
      <t>0.4m</t>
    </r>
    <r>
      <rPr>
        <vertAlign val="superscript"/>
        <sz val="12"/>
        <rFont val="Times New Roman"/>
        <family val="1"/>
      </rPr>
      <t>3</t>
    </r>
  </si>
  <si>
    <r>
      <t>0001</t>
    </r>
    <r>
      <rPr>
        <sz val="12"/>
        <rFont val="宋体"/>
        <family val="0"/>
      </rPr>
      <t>3</t>
    </r>
  </si>
  <si>
    <t>施工方法：人工砌筑挡土墙。</t>
  </si>
  <si>
    <t>液压岩石破碎机拆除砼</t>
  </si>
  <si>
    <t>00017</t>
  </si>
  <si>
    <r>
      <t>Y</t>
    </r>
    <r>
      <rPr>
        <sz val="11"/>
        <rFont val="宋体"/>
        <family val="0"/>
      </rPr>
      <t>B4005</t>
    </r>
  </si>
  <si>
    <t>施工方法：</t>
  </si>
  <si>
    <r>
      <t>液压挖掘机</t>
    </r>
    <r>
      <rPr>
        <sz val="12"/>
        <rFont val="宋体"/>
        <family val="0"/>
      </rPr>
      <t>1</t>
    </r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3</t>
    </r>
  </si>
  <si>
    <t>人工凿除混凝土</t>
  </si>
  <si>
    <r>
      <t>YB400</t>
    </r>
    <r>
      <rPr>
        <sz val="11"/>
        <rFont val="宋体"/>
        <family val="0"/>
      </rPr>
      <t>4</t>
    </r>
  </si>
  <si>
    <t>施工方法：风钻钻孔、人工凿除、人工堆放混凝土渣。</t>
  </si>
  <si>
    <r>
      <t>m</t>
    </r>
    <r>
      <rPr>
        <sz val="12"/>
        <rFont val="宋体"/>
        <family val="0"/>
      </rPr>
      <t>3</t>
    </r>
  </si>
  <si>
    <t>风镐</t>
  </si>
  <si>
    <t>闸底板砼</t>
  </si>
  <si>
    <r>
      <rPr>
        <sz val="11"/>
        <rFont val="宋体"/>
        <family val="0"/>
      </rPr>
      <t>Y</t>
    </r>
    <r>
      <rPr>
        <sz val="11"/>
        <rFont val="宋体"/>
        <family val="0"/>
      </rPr>
      <t>B4023</t>
    </r>
    <r>
      <rPr>
        <sz val="11"/>
        <rFont val="宋体"/>
        <family val="0"/>
      </rPr>
      <t xml:space="preserve"> 401</t>
    </r>
    <r>
      <rPr>
        <sz val="11"/>
        <rFont val="宋体"/>
        <family val="0"/>
      </rPr>
      <t>34</t>
    </r>
    <r>
      <rPr>
        <sz val="11"/>
        <rFont val="宋体"/>
        <family val="0"/>
      </rPr>
      <t>×1.0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 401</t>
    </r>
    <r>
      <rPr>
        <sz val="11"/>
        <rFont val="宋体"/>
        <family val="0"/>
      </rPr>
      <t>55</t>
    </r>
    <r>
      <rPr>
        <sz val="11"/>
        <rFont val="宋体"/>
        <family val="0"/>
      </rPr>
      <t>×1.0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 40</t>
    </r>
    <r>
      <rPr>
        <sz val="11"/>
        <rFont val="宋体"/>
        <family val="0"/>
      </rPr>
      <t>171</t>
    </r>
    <r>
      <rPr>
        <sz val="11"/>
        <rFont val="宋体"/>
        <family val="0"/>
      </rPr>
      <t>×1.0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  </t>
    </r>
  </si>
  <si>
    <r>
      <t>0001</t>
    </r>
    <r>
      <rPr>
        <sz val="12"/>
        <rFont val="宋体"/>
        <family val="0"/>
      </rPr>
      <t>5</t>
    </r>
  </si>
  <si>
    <r>
      <t>5000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 500</t>
    </r>
    <r>
      <rPr>
        <sz val="12"/>
        <rFont val="宋体"/>
        <family val="0"/>
      </rPr>
      <t>04</t>
    </r>
  </si>
  <si>
    <t>组合钢模板</t>
  </si>
  <si>
    <r>
      <t xml:space="preserve"> </t>
    </r>
    <r>
      <rPr>
        <sz val="12"/>
        <rFont val="宋体"/>
        <family val="0"/>
      </rPr>
      <t>型钢</t>
    </r>
  </si>
  <si>
    <t>卡扣件</t>
  </si>
  <si>
    <t>预埋铁件</t>
  </si>
  <si>
    <t>电焊条</t>
  </si>
  <si>
    <t>预制混凝土柱</t>
  </si>
  <si>
    <r>
      <t>电焊机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交流</t>
    </r>
    <r>
      <rPr>
        <sz val="12"/>
        <rFont val="Times New Roman"/>
        <family val="1"/>
      </rPr>
      <t xml:space="preserve"> 25kVA</t>
    </r>
  </si>
  <si>
    <t>单      价</t>
  </si>
  <si>
    <r>
      <t>格宾石笼固脚1.0*</t>
    </r>
    <r>
      <rPr>
        <sz val="12"/>
        <rFont val="宋体"/>
        <family val="0"/>
      </rPr>
      <t>1.0</t>
    </r>
  </si>
  <si>
    <r>
      <t>0001</t>
    </r>
    <r>
      <rPr>
        <sz val="12"/>
        <rFont val="宋体"/>
        <family val="0"/>
      </rPr>
      <t>7</t>
    </r>
  </si>
  <si>
    <t>施工方法：选石、修石、砌筑、填缝、找平。</t>
  </si>
  <si>
    <t>格宾网</t>
  </si>
  <si>
    <r>
      <t>工程量计算明细表（0+02</t>
    </r>
    <r>
      <rPr>
        <b/>
        <sz val="20"/>
        <rFont val="宋体"/>
        <family val="0"/>
      </rPr>
      <t>0至0+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60）</t>
    </r>
  </si>
  <si>
    <t>桩号</t>
  </si>
  <si>
    <t>间距（m）</t>
  </si>
  <si>
    <r>
      <t>土方量（m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</si>
  <si>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石方（m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</si>
  <si>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其它</t>
  </si>
  <si>
    <t>挖方</t>
  </si>
  <si>
    <t>表土剥离</t>
  </si>
  <si>
    <t>客土填方量</t>
  </si>
  <si>
    <t>填方量</t>
  </si>
  <si>
    <t>格宾石笼固脚</t>
  </si>
  <si>
    <t>格宾石笼封边</t>
  </si>
  <si>
    <r>
      <t>断面（m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</si>
  <si>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工程量（m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</si>
  <si>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小计（m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</si>
  <si>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断面（m）</t>
  </si>
  <si>
    <r>
      <t>工程量（m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</si>
  <si>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0+020</t>
  </si>
  <si>
    <t>0+060</t>
  </si>
  <si>
    <t>0+135</t>
  </si>
  <si>
    <r>
      <t>0</t>
    </r>
    <r>
      <rPr>
        <sz val="10"/>
        <rFont val="宋体"/>
        <family val="0"/>
      </rPr>
      <t>+160</t>
    </r>
  </si>
  <si>
    <r>
      <t>工程量计算明细表（0+190至0+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40）</t>
    </r>
  </si>
  <si>
    <r>
      <t>0+</t>
    </r>
    <r>
      <rPr>
        <sz val="10"/>
        <rFont val="宋体"/>
        <family val="0"/>
      </rPr>
      <t>190</t>
    </r>
  </si>
  <si>
    <t>0+240</t>
  </si>
  <si>
    <r>
      <t>工程量计算明细表（0+419</t>
    </r>
    <r>
      <rPr>
        <b/>
        <sz val="20"/>
        <rFont val="宋体"/>
        <family val="0"/>
      </rPr>
      <t>至0+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65</t>
    </r>
    <r>
      <rPr>
        <b/>
        <sz val="20"/>
        <rFont val="宋体"/>
        <family val="0"/>
      </rPr>
      <t>）</t>
    </r>
  </si>
  <si>
    <t>0+419</t>
  </si>
  <si>
    <r>
      <t>0+6</t>
    </r>
    <r>
      <rPr>
        <sz val="10"/>
        <rFont val="宋体"/>
        <family val="0"/>
      </rPr>
      <t>33</t>
    </r>
  </si>
  <si>
    <r>
      <t>0</t>
    </r>
    <r>
      <rPr>
        <sz val="10"/>
        <rFont val="宋体"/>
        <family val="0"/>
      </rPr>
      <t>+665</t>
    </r>
  </si>
  <si>
    <t>工程量计算明细表（0+742至0+835）</t>
  </si>
  <si>
    <t xml:space="preserve"> 格宾石笼封边</t>
  </si>
  <si>
    <r>
      <t>0+75</t>
    </r>
    <r>
      <rPr>
        <sz val="10"/>
        <rFont val="宋体"/>
        <family val="0"/>
      </rPr>
      <t>0</t>
    </r>
  </si>
  <si>
    <t>0+794</t>
  </si>
  <si>
    <r>
      <t>0+8</t>
    </r>
    <r>
      <rPr>
        <sz val="10"/>
        <rFont val="宋体"/>
        <family val="0"/>
      </rPr>
      <t>2</t>
    </r>
    <r>
      <rPr>
        <sz val="10"/>
        <rFont val="宋体"/>
        <family val="0"/>
      </rPr>
      <t>5</t>
    </r>
  </si>
  <si>
    <r>
      <t>工程量计算明细表（0+750</t>
    </r>
    <r>
      <rPr>
        <b/>
        <sz val="20"/>
        <rFont val="宋体"/>
        <family val="0"/>
      </rPr>
      <t>至0+</t>
    </r>
    <r>
      <rPr>
        <b/>
        <sz val="20"/>
        <rFont val="宋体"/>
        <family val="0"/>
      </rPr>
      <t>82</t>
    </r>
    <r>
      <rPr>
        <b/>
        <sz val="20"/>
        <rFont val="宋体"/>
        <family val="0"/>
      </rPr>
      <t>5）</t>
    </r>
  </si>
  <si>
    <r>
      <t>工程量计算明细表（0+190至0+240</t>
    </r>
    <r>
      <rPr>
        <b/>
        <sz val="20"/>
        <rFont val="宋体"/>
        <family val="0"/>
      </rPr>
      <t>）</t>
    </r>
  </si>
  <si>
    <t>右岸</t>
  </si>
  <si>
    <t>左岸</t>
  </si>
  <si>
    <r>
      <t>格宾石笼固脚1.0*</t>
    </r>
    <r>
      <rPr>
        <sz val="12"/>
        <rFont val="宋体"/>
        <family val="0"/>
      </rPr>
      <t>0.6</t>
    </r>
  </si>
  <si>
    <r>
      <t>0001</t>
    </r>
    <r>
      <rPr>
        <sz val="12"/>
        <rFont val="宋体"/>
        <family val="0"/>
      </rPr>
      <t>8</t>
    </r>
  </si>
  <si>
    <t>00016</t>
  </si>
  <si>
    <t>40096 40171×1.05 40192×1.05 40208×1.05</t>
  </si>
  <si>
    <t>施工方法：1.1kw振动器振捣，搅拌机拌制混凝土，机动翻斗车运输，运距100m，泻槽运送，泻槽斜长5m</t>
  </si>
  <si>
    <t>00018</t>
  </si>
  <si>
    <t>40066 40171×1.05 40192×1.05 40208×1.05</t>
  </si>
  <si>
    <t>施工方法：1.5kw振动器振捣，搅拌机拌制混凝土，机动翻斗车运输，运距100m，泻槽运送，泻槽斜长5m</t>
  </si>
  <si>
    <r>
      <t>振动器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插入式</t>
    </r>
    <r>
      <rPr>
        <sz val="12"/>
        <rFont val="Times New Roman"/>
        <family val="1"/>
      </rPr>
      <t xml:space="preserve">  1.5kw</t>
    </r>
  </si>
  <si>
    <t>变频机组8.5kVA</t>
  </si>
  <si>
    <t>启闭架砼</t>
  </si>
  <si>
    <t>00019</t>
  </si>
  <si>
    <t>40080 40171×1.05 40192×1.05 40208×1.05</t>
  </si>
  <si>
    <t>00020</t>
  </si>
  <si>
    <r>
      <t xml:space="preserve">40069 </t>
    </r>
    <r>
      <rPr>
        <sz val="11"/>
        <rFont val="宋体"/>
        <family val="0"/>
      </rPr>
      <t>401</t>
    </r>
    <r>
      <rPr>
        <sz val="11"/>
        <rFont val="宋体"/>
        <family val="0"/>
      </rPr>
      <t>34</t>
    </r>
    <r>
      <rPr>
        <sz val="11"/>
        <rFont val="宋体"/>
        <family val="0"/>
      </rPr>
      <t>×1.0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 401</t>
    </r>
    <r>
      <rPr>
        <sz val="11"/>
        <rFont val="宋体"/>
        <family val="0"/>
      </rPr>
      <t>55</t>
    </r>
    <r>
      <rPr>
        <sz val="11"/>
        <rFont val="宋体"/>
        <family val="0"/>
      </rPr>
      <t>×1.0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 40</t>
    </r>
    <r>
      <rPr>
        <sz val="11"/>
        <rFont val="宋体"/>
        <family val="0"/>
      </rPr>
      <t>171</t>
    </r>
    <r>
      <rPr>
        <sz val="11"/>
        <rFont val="宋体"/>
        <family val="0"/>
      </rPr>
      <t>×1.0</t>
    </r>
    <r>
      <rPr>
        <sz val="11"/>
        <rFont val="宋体"/>
        <family val="0"/>
      </rPr>
      <t>3</t>
    </r>
  </si>
  <si>
    <t>施工方法：搅拌机拌制混凝土，机动翻斗车运输，运距100m，泻槽运送，泻槽斜长5m，1.1kw振动器振捣，墙厚30cm</t>
  </si>
  <si>
    <t>涵洞砼</t>
  </si>
  <si>
    <t>00021</t>
  </si>
  <si>
    <t>40063×0.70  40065×0.30  40171×1.06 40192×1.06 40208×1.06</t>
  </si>
  <si>
    <t>00023</t>
  </si>
  <si>
    <t>施工方法：人工安置橡胶止水</t>
  </si>
  <si>
    <t>00027</t>
  </si>
  <si>
    <t>施工方法：人工填筑袋装土石围堰，编织袋粘土。</t>
  </si>
  <si>
    <t>粘土</t>
  </si>
  <si>
    <t>编织袋</t>
  </si>
  <si>
    <t>编织袋围堰拆除（外运3km）</t>
  </si>
  <si>
    <t>00028</t>
  </si>
  <si>
    <r>
      <t>1</t>
    </r>
    <r>
      <rPr>
        <sz val="11"/>
        <rFont val="宋体"/>
        <family val="0"/>
      </rPr>
      <t>0624-2</t>
    </r>
  </si>
  <si>
    <r>
      <t>施工方法：1m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挖掘机挖类土，</t>
    </r>
    <r>
      <rPr>
        <sz val="12"/>
        <rFont val="宋体"/>
        <family val="0"/>
      </rPr>
      <t>10</t>
    </r>
    <r>
      <rPr>
        <sz val="12"/>
        <rFont val="宋体"/>
        <family val="0"/>
      </rPr>
      <t>t自卸汽车运输，运距3km</t>
    </r>
  </si>
  <si>
    <r>
      <t>推土机5</t>
    </r>
    <r>
      <rPr>
        <sz val="12"/>
        <rFont val="宋体"/>
        <family val="0"/>
      </rPr>
      <t>9</t>
    </r>
    <r>
      <rPr>
        <sz val="12"/>
        <rFont val="宋体"/>
        <family val="0"/>
      </rPr>
      <t>kW</t>
    </r>
  </si>
  <si>
    <r>
      <t>自卸汽车</t>
    </r>
    <r>
      <rPr>
        <sz val="12"/>
        <rFont val="宋体"/>
        <family val="0"/>
      </rPr>
      <t>10</t>
    </r>
    <r>
      <rPr>
        <sz val="12"/>
        <rFont val="宋体"/>
        <family val="0"/>
      </rPr>
      <t>t</t>
    </r>
  </si>
  <si>
    <r>
      <t>砂砾石路面（2</t>
    </r>
    <r>
      <rPr>
        <sz val="12"/>
        <rFont val="宋体"/>
        <family val="0"/>
      </rPr>
      <t>5cm）</t>
    </r>
  </si>
  <si>
    <r>
      <t>000</t>
    </r>
    <r>
      <rPr>
        <sz val="12"/>
        <rFont val="宋体"/>
        <family val="0"/>
      </rPr>
      <t>19</t>
    </r>
  </si>
  <si>
    <r>
      <t>100</t>
    </r>
    <r>
      <rPr>
        <sz val="12"/>
        <rFont val="宋体"/>
        <family val="0"/>
      </rPr>
      <t>0</t>
    </r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2</t>
    </r>
  </si>
  <si>
    <t>施工方法：砂砾石的铺料、碾压等</t>
  </si>
  <si>
    <t xml:space="preserve">砂砾石 </t>
  </si>
  <si>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3</t>
    </r>
  </si>
  <si>
    <r>
      <t xml:space="preserve">内燃压路机 </t>
    </r>
    <r>
      <rPr>
        <sz val="12"/>
        <rFont val="宋体"/>
        <family val="0"/>
      </rPr>
      <t>12-15t</t>
    </r>
  </si>
  <si>
    <r>
      <t>000</t>
    </r>
    <r>
      <rPr>
        <sz val="12"/>
        <rFont val="宋体"/>
        <family val="0"/>
      </rPr>
      <t>20</t>
    </r>
  </si>
  <si>
    <r>
      <t>900</t>
    </r>
    <r>
      <rPr>
        <sz val="12"/>
        <rFont val="宋体"/>
        <family val="0"/>
      </rPr>
      <t>16  90017*6</t>
    </r>
  </si>
  <si>
    <t>施工方法：挖路槽、培路肩、基础材料的铺压等</t>
  </si>
  <si>
    <t xml:space="preserve">碎石 </t>
  </si>
  <si>
    <t>施工机械台时费用计算表</t>
  </si>
  <si>
    <t>台时编号</t>
  </si>
  <si>
    <t>台时费       合  计     (元/台时)</t>
  </si>
  <si>
    <t xml:space="preserve">一类           费用         (元)          </t>
  </si>
  <si>
    <t xml:space="preserve">二类                     费用               小计         (元)         </t>
  </si>
  <si>
    <t>二　　　　　类　　　　　费　　　　用</t>
  </si>
  <si>
    <r>
      <t>三类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费用　　　　　　　　　　　　（元）</t>
    </r>
  </si>
  <si>
    <t>人工</t>
  </si>
  <si>
    <t>电</t>
  </si>
  <si>
    <t>风</t>
  </si>
  <si>
    <r>
      <t>数量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(工时)</t>
    </r>
  </si>
  <si>
    <t>金额　　(元)</t>
  </si>
  <si>
    <t>数量　　(kg)</t>
  </si>
  <si>
    <t>数量　　(kwh)</t>
  </si>
  <si>
    <r>
      <t>数量　　(m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</si>
  <si>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单斗挖掘机</t>
    </r>
    <r>
      <rPr>
        <sz val="10"/>
        <rFont val="Times New Roman"/>
        <family val="1"/>
      </rPr>
      <t>1.0m</t>
    </r>
    <r>
      <rPr>
        <vertAlign val="superscript"/>
        <sz val="10"/>
        <rFont val="Times New Roman"/>
        <family val="1"/>
      </rPr>
      <t>3</t>
    </r>
  </si>
  <si>
    <r>
      <t>装载机(轮胎式）1.0m</t>
    </r>
    <r>
      <rPr>
        <vertAlign val="superscript"/>
        <sz val="10"/>
        <rFont val="Times New Roman"/>
        <family val="1"/>
      </rPr>
      <t>3</t>
    </r>
  </si>
  <si>
    <r>
      <t>装载机（轮胎式）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.0m</t>
    </r>
    <r>
      <rPr>
        <vertAlign val="superscript"/>
        <sz val="10"/>
        <rFont val="Times New Roman"/>
        <family val="1"/>
      </rPr>
      <t>3</t>
    </r>
  </si>
  <si>
    <t>推土机55kw</t>
  </si>
  <si>
    <t>推土机74kw</t>
  </si>
  <si>
    <t>推土机88kw</t>
  </si>
  <si>
    <t>推土机103kw</t>
  </si>
  <si>
    <t>拖拉机55kw</t>
  </si>
  <si>
    <t>拖拉机59kw</t>
  </si>
  <si>
    <t>拖拉机 手扶式 11kw</t>
  </si>
  <si>
    <t>蛙式夯实机2.8kw</t>
  </si>
  <si>
    <t>风稿（铲）</t>
  </si>
  <si>
    <r>
      <t>固定式空压机</t>
    </r>
    <r>
      <rPr>
        <sz val="10"/>
        <rFont val="Times New Roman"/>
        <family val="1"/>
      </rPr>
      <t>20m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</si>
  <si>
    <r>
      <t>固定式空压机</t>
    </r>
    <r>
      <rPr>
        <sz val="10"/>
        <rFont val="Times New Roman"/>
        <family val="1"/>
      </rPr>
      <t>40m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</si>
  <si>
    <r>
      <t>移动式空压机</t>
    </r>
    <r>
      <rPr>
        <sz val="10"/>
        <rFont val="Times New Roman"/>
        <family val="1"/>
      </rPr>
      <t>6m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</si>
  <si>
    <t>柴油发电机（移动式）30kw</t>
  </si>
  <si>
    <t>柴油发电机85kW</t>
  </si>
  <si>
    <r>
      <t>混凝土搅拌机0.4m</t>
    </r>
    <r>
      <rPr>
        <vertAlign val="superscript"/>
        <sz val="10"/>
        <rFont val="Times New Roman"/>
        <family val="1"/>
      </rPr>
      <t>3</t>
    </r>
  </si>
  <si>
    <t>人工费（元/工时）：</t>
  </si>
  <si>
    <t>电（元/度）：</t>
  </si>
  <si>
    <t>汽油（元/公斤）：</t>
  </si>
  <si>
    <t>风（元/立米）：</t>
  </si>
  <si>
    <t>柴油（元/公斤）：</t>
  </si>
  <si>
    <t>水（元/吨）：</t>
  </si>
  <si>
    <t>柴油发电机用价</t>
  </si>
  <si>
    <t>数量　　　(工时)</t>
  </si>
  <si>
    <r>
      <t>数量　　</t>
    </r>
    <r>
      <rPr>
        <sz val="8"/>
        <rFont val="宋体"/>
        <family val="0"/>
      </rPr>
      <t>(</t>
    </r>
    <r>
      <rPr>
        <sz val="10"/>
        <rFont val="宋体"/>
        <family val="0"/>
      </rPr>
      <t>kg</t>
    </r>
    <r>
      <rPr>
        <sz val="8"/>
        <rFont val="宋体"/>
        <family val="0"/>
      </rPr>
      <t>)</t>
    </r>
  </si>
  <si>
    <r>
      <t>数量　　</t>
    </r>
    <r>
      <rPr>
        <sz val="8"/>
        <rFont val="宋体"/>
        <family val="0"/>
      </rPr>
      <t>(</t>
    </r>
    <r>
      <rPr>
        <sz val="10"/>
        <rFont val="宋体"/>
        <family val="0"/>
      </rPr>
      <t>kwh</t>
    </r>
    <r>
      <rPr>
        <sz val="8"/>
        <rFont val="宋体"/>
        <family val="0"/>
      </rPr>
      <t>)</t>
    </r>
  </si>
  <si>
    <r>
      <t>数量　　</t>
    </r>
    <r>
      <rPr>
        <sz val="8"/>
        <rFont val="宋体"/>
        <family val="0"/>
      </rPr>
      <t>(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3</t>
    </r>
    <r>
      <rPr>
        <sz val="8"/>
        <rFont val="宋体"/>
        <family val="0"/>
      </rPr>
      <t>)</t>
    </r>
  </si>
  <si>
    <r>
      <t>混凝土输送泵30m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</t>
    </r>
  </si>
  <si>
    <t>振动器(插入式1.1kw)</t>
  </si>
  <si>
    <t>振动器(插入式1.5kw)</t>
  </si>
  <si>
    <t>振动器(插入式2.2kw)</t>
  </si>
  <si>
    <t>振动器(平板式2.2kw)</t>
  </si>
  <si>
    <t>混凝土平仓振捣机40kw</t>
  </si>
  <si>
    <r>
      <t>风（砂）水枪耗风量6.0m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/min</t>
    </r>
  </si>
  <si>
    <t>自卸汽车3.5t</t>
  </si>
  <si>
    <t>自卸汽车5t</t>
  </si>
  <si>
    <t>自卸汽车10t</t>
  </si>
  <si>
    <t>自卸汽车12t</t>
  </si>
  <si>
    <t>自卸汽车20t</t>
  </si>
  <si>
    <r>
      <t xml:space="preserve">洒水车 </t>
    </r>
    <r>
      <rPr>
        <sz val="10"/>
        <rFont val="宋体"/>
        <family val="0"/>
      </rPr>
      <t xml:space="preserve"> 4m</t>
    </r>
    <r>
      <rPr>
        <vertAlign val="superscript"/>
        <sz val="10"/>
        <rFont val="宋体"/>
        <family val="0"/>
      </rPr>
      <t>3</t>
    </r>
  </si>
  <si>
    <t>台时费     合  计     (元/台时)</t>
  </si>
  <si>
    <r>
      <t>三类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费用　　　　　　　　　　　　（元）</t>
    </r>
  </si>
  <si>
    <t>10/30t高架</t>
  </si>
  <si>
    <t>门座式起重机SDMQ1260/60</t>
  </si>
  <si>
    <t>履带式起重机5t</t>
  </si>
  <si>
    <t>履带式起重机10t</t>
  </si>
  <si>
    <t>履带式起重机15t</t>
  </si>
  <si>
    <t>履带式起重机20t</t>
  </si>
  <si>
    <t>汽车起重机5t</t>
  </si>
  <si>
    <t>汽车起重机10t</t>
  </si>
  <si>
    <t>汽车起重机20t</t>
  </si>
  <si>
    <t>汽车起重机25t</t>
  </si>
  <si>
    <t>汽车起重机40t</t>
  </si>
  <si>
    <t>电动葫芦3.0t</t>
  </si>
  <si>
    <t>卷扬机3.0t</t>
  </si>
  <si>
    <r>
      <t>卷扬机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.0t</t>
    </r>
  </si>
  <si>
    <t>冲机钻机CZ-22</t>
  </si>
  <si>
    <t>反循环钻机SFZ-150</t>
  </si>
  <si>
    <r>
      <t>离心水泵单级5～1</t>
    </r>
    <r>
      <rPr>
        <sz val="10"/>
        <rFont val="宋体"/>
        <family val="0"/>
      </rPr>
      <t>0</t>
    </r>
    <r>
      <rPr>
        <sz val="10"/>
        <rFont val="宋体"/>
        <family val="0"/>
      </rPr>
      <t>kw　</t>
    </r>
  </si>
  <si>
    <t>离心水泵单级双吸２０kw　</t>
  </si>
  <si>
    <t>台时费     合  计 (元/台时)</t>
  </si>
  <si>
    <r>
      <t>三类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费用　　　　　　　　　　（元）</t>
    </r>
  </si>
  <si>
    <t>离心水泵单级双吸55kw　</t>
  </si>
  <si>
    <r>
      <t>泥浆泵</t>
    </r>
    <r>
      <rPr>
        <sz val="10"/>
        <rFont val="Times New Roman"/>
        <family val="1"/>
      </rPr>
      <t>3PN</t>
    </r>
  </si>
  <si>
    <t>泥浆搅拌机</t>
  </si>
  <si>
    <t>污水泵22kw</t>
  </si>
  <si>
    <t>污水泵55kw</t>
  </si>
  <si>
    <t>电焊机直流20KVA</t>
  </si>
  <si>
    <t>电焊机直流30KVA</t>
  </si>
  <si>
    <r>
      <t>电焊机交流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KVA</t>
    </r>
  </si>
  <si>
    <t>对焊机电弧弄150KVA</t>
  </si>
  <si>
    <t>钢筋弯曲机φ6-40</t>
  </si>
  <si>
    <t>钢筋切断机20Kw</t>
  </si>
  <si>
    <t>钢筋调直机</t>
  </si>
  <si>
    <t>型钢剪断机 13kW</t>
  </si>
  <si>
    <t>简易缆索起重机</t>
  </si>
  <si>
    <r>
      <t>内燃压路机1</t>
    </r>
    <r>
      <rPr>
        <sz val="10"/>
        <rFont val="宋体"/>
        <family val="0"/>
      </rPr>
      <t>2～15</t>
    </r>
  </si>
  <si>
    <r>
      <t xml:space="preserve">机动翻机车 </t>
    </r>
    <r>
      <rPr>
        <sz val="10"/>
        <rFont val="宋体"/>
        <family val="0"/>
      </rPr>
      <t>1t</t>
    </r>
  </si>
  <si>
    <t>排水闸总工程量汇总表</t>
  </si>
  <si>
    <t>部位</t>
  </si>
  <si>
    <t>C25钢砼</t>
  </si>
  <si>
    <t>C15素砼</t>
  </si>
  <si>
    <t>干砌石底</t>
  </si>
  <si>
    <t>干砌石坡</t>
  </si>
  <si>
    <t>回填土方</t>
  </si>
  <si>
    <t>填方</t>
  </si>
  <si>
    <t>格宾石笼</t>
  </si>
  <si>
    <t>2寸钢管</t>
  </si>
  <si>
    <r>
      <t>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</si>
  <si>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t>（m）</t>
  </si>
  <si>
    <r>
      <t>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</si>
  <si>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t>（kg）</t>
  </si>
  <si>
    <t>护砌段</t>
  </si>
  <si>
    <t>进口段</t>
  </si>
  <si>
    <t>进口段翼墙</t>
  </si>
  <si>
    <t>涵洞</t>
  </si>
  <si>
    <t>闸墩</t>
  </si>
  <si>
    <t>闸底板</t>
  </si>
  <si>
    <t>启闭台</t>
  </si>
  <si>
    <t>护底段</t>
  </si>
  <si>
    <t>围栏</t>
  </si>
  <si>
    <t>铸铁闸门：2m×1.4m  一扇</t>
  </si>
  <si>
    <t>启闭机：3t螺杆启闭机 一台</t>
  </si>
  <si>
    <t>种草</t>
  </si>
  <si>
    <r>
      <t>0002</t>
    </r>
    <r>
      <rPr>
        <sz val="12"/>
        <rFont val="宋体"/>
        <family val="0"/>
      </rPr>
      <t>9</t>
    </r>
  </si>
  <si>
    <t>08057</t>
  </si>
  <si>
    <r>
      <t>h</t>
    </r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2</t>
    </r>
  </si>
  <si>
    <r>
      <t>施工方法：种子处理、人工撒播草籽、覆土</t>
    </r>
    <r>
      <rPr>
        <sz val="12"/>
        <rFont val="宋体"/>
        <family val="0"/>
      </rPr>
      <t>。</t>
    </r>
  </si>
  <si>
    <t>草籽</t>
  </si>
  <si>
    <t>主材费</t>
  </si>
  <si>
    <t>石头河工程量明细（2+116-3+480，4+022-6+053)</t>
  </si>
  <si>
    <t>里程（m）</t>
  </si>
  <si>
    <r>
      <rPr>
        <sz val="11"/>
        <color indexed="8"/>
        <rFont val="宋体"/>
        <family val="0"/>
      </rPr>
      <t>开挖面积（m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</si>
  <si>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t>开挖量</t>
  </si>
  <si>
    <r>
      <rPr>
        <sz val="11"/>
        <color indexed="8"/>
        <rFont val="宋体"/>
        <family val="0"/>
      </rPr>
      <t>开挖量（m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</si>
  <si>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t>回填土面积（m2）</t>
  </si>
  <si>
    <t>回填量</t>
  </si>
  <si>
    <r>
      <rPr>
        <sz val="11"/>
        <color indexed="8"/>
        <rFont val="宋体"/>
        <family val="0"/>
      </rPr>
      <t>回填土量（m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</si>
  <si>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t>石笼固脚量</t>
  </si>
  <si>
    <r>
      <rPr>
        <sz val="11"/>
        <color indexed="8"/>
        <rFont val="宋体"/>
        <family val="0"/>
      </rPr>
      <t>格宾石笼固脚量（m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</si>
  <si>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雷诺护垫量（m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</si>
  <si>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碎石垫层（m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</si>
  <si>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t>无纺布（m2）</t>
  </si>
  <si>
    <r>
      <t>草皮护坡（m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</si>
  <si>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t>左岸L</t>
  </si>
  <si>
    <t>左岸R</t>
  </si>
  <si>
    <t>右岸L</t>
  </si>
  <si>
    <t>右岸R</t>
  </si>
  <si>
    <r>
      <rPr>
        <sz val="11"/>
        <color indexed="8"/>
        <rFont val="宋体"/>
        <family val="0"/>
      </rPr>
      <t>L护垫面积（m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</si>
  <si>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L护垫量（m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</si>
  <si>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R护垫面积（m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</si>
  <si>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R护垫量（m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</si>
  <si>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L碎石面积（m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</si>
  <si>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L碎石量（m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</si>
  <si>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R碎石面积（m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</si>
  <si>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R碎石量（m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</si>
  <si>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t>L长（m）</t>
  </si>
  <si>
    <r>
      <rPr>
        <sz val="11"/>
        <color indexed="8"/>
        <rFont val="宋体"/>
        <family val="0"/>
      </rPr>
      <t>L面积（m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</si>
  <si>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t>R长（m）</t>
  </si>
  <si>
    <r>
      <rPr>
        <sz val="11"/>
        <color indexed="8"/>
        <rFont val="宋体"/>
        <family val="0"/>
      </rPr>
      <t>R面积（m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</si>
  <si>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总面积（m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</si>
  <si>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t>左岸长（m）</t>
  </si>
  <si>
    <r>
      <t>左岸面积（m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</si>
  <si>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t>右岸长（m）</t>
  </si>
  <si>
    <r>
      <t>右岸面积（m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</si>
  <si>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r>
      <t>总面积（m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</si>
  <si>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t>2+116</t>
  </si>
  <si>
    <t>2+149</t>
  </si>
  <si>
    <t>2+230</t>
  </si>
  <si>
    <r>
      <t>2</t>
    </r>
    <r>
      <rPr>
        <sz val="11"/>
        <color indexed="8"/>
        <rFont val="宋体"/>
        <family val="0"/>
      </rPr>
      <t>+276</t>
    </r>
  </si>
  <si>
    <t>2+322</t>
  </si>
  <si>
    <t>2+413</t>
  </si>
  <si>
    <t>2+524</t>
  </si>
  <si>
    <t>2+630</t>
  </si>
  <si>
    <t>2+710</t>
  </si>
  <si>
    <t>2+834</t>
  </si>
  <si>
    <t>2+970</t>
  </si>
  <si>
    <t>3+115</t>
  </si>
  <si>
    <t>3+193</t>
  </si>
  <si>
    <t>3+348</t>
  </si>
  <si>
    <t>3+480</t>
  </si>
  <si>
    <t>4+022-6+053</t>
  </si>
  <si>
    <t>4+022</t>
  </si>
  <si>
    <t>4+050</t>
  </si>
  <si>
    <t>4+100</t>
  </si>
  <si>
    <t>4+200</t>
  </si>
  <si>
    <t>4+300</t>
  </si>
  <si>
    <t>4+400</t>
  </si>
  <si>
    <t>4+549</t>
  </si>
  <si>
    <t>4+617</t>
  </si>
  <si>
    <t>4+768</t>
  </si>
  <si>
    <t>4+809</t>
  </si>
  <si>
    <t>4+885</t>
  </si>
  <si>
    <t>4+933</t>
  </si>
  <si>
    <t>5+060</t>
  </si>
  <si>
    <t>5+175</t>
  </si>
  <si>
    <t>5+254</t>
  </si>
  <si>
    <t>5+340</t>
  </si>
  <si>
    <t>5+404</t>
  </si>
  <si>
    <t>5+510</t>
  </si>
  <si>
    <t>5+571</t>
  </si>
  <si>
    <t>5+668</t>
  </si>
  <si>
    <t>5+722</t>
  </si>
  <si>
    <t>5+748</t>
  </si>
  <si>
    <t>5+855</t>
  </si>
  <si>
    <t>5+969</t>
  </si>
  <si>
    <t>6+053</t>
  </si>
  <si>
    <t>4+109</t>
  </si>
  <si>
    <t>4+215</t>
  </si>
  <si>
    <t>4+275</t>
  </si>
  <si>
    <t>4+470</t>
  </si>
  <si>
    <t>石头河工程量明细（0+000-2+116,3+480-4+022）</t>
  </si>
  <si>
    <t>开挖面积（㎡）</t>
  </si>
  <si>
    <r>
      <rPr>
        <sz val="12"/>
        <color indexed="8"/>
        <rFont val="宋体"/>
        <family val="0"/>
      </rPr>
      <t>开挖量（m</t>
    </r>
    <r>
      <rPr>
        <vertAlign val="superscript"/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）</t>
    </r>
  </si>
  <si>
    <t>砼面积（㎡）</t>
  </si>
  <si>
    <t>砼量</t>
  </si>
  <si>
    <r>
      <rPr>
        <sz val="12"/>
        <color indexed="8"/>
        <rFont val="宋体"/>
        <family val="0"/>
      </rPr>
      <t>砼方量（m</t>
    </r>
    <r>
      <rPr>
        <vertAlign val="superscript"/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）</t>
    </r>
  </si>
  <si>
    <t>浆砌石面积（㎡）</t>
  </si>
  <si>
    <t>浆砌石量</t>
  </si>
  <si>
    <r>
      <t>浆砌石量（m</t>
    </r>
    <r>
      <rPr>
        <vertAlign val="superscript"/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）</t>
    </r>
  </si>
  <si>
    <t>回填土面积（㎡）</t>
  </si>
  <si>
    <r>
      <rPr>
        <sz val="12"/>
        <color indexed="8"/>
        <rFont val="宋体"/>
        <family val="0"/>
      </rPr>
      <t>回填土量（m</t>
    </r>
    <r>
      <rPr>
        <vertAlign val="superscript"/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）</t>
    </r>
  </si>
  <si>
    <t>排水管（m）</t>
  </si>
  <si>
    <t>总长度</t>
  </si>
  <si>
    <t>碎石包</t>
  </si>
  <si>
    <t>左岸一</t>
  </si>
  <si>
    <t>左岸二</t>
  </si>
  <si>
    <t>左岸一L</t>
  </si>
  <si>
    <t>左岸一R</t>
  </si>
  <si>
    <t>左岸二L</t>
  </si>
  <si>
    <t>左岸二R</t>
  </si>
  <si>
    <t>长度</t>
  </si>
  <si>
    <t>总长度（m）</t>
  </si>
  <si>
    <t>0+000</t>
  </si>
  <si>
    <t>0+100</t>
  </si>
  <si>
    <t>0+200</t>
  </si>
  <si>
    <t>0+300</t>
  </si>
  <si>
    <t>0+400</t>
  </si>
  <si>
    <t>0+500</t>
  </si>
  <si>
    <t>0+600</t>
  </si>
  <si>
    <t>0+700</t>
  </si>
  <si>
    <t>0+800</t>
  </si>
  <si>
    <t>0+900</t>
  </si>
  <si>
    <t>1+000</t>
  </si>
  <si>
    <t>1+100</t>
  </si>
  <si>
    <t>1+200</t>
  </si>
  <si>
    <t>1+300</t>
  </si>
  <si>
    <t>1+400</t>
  </si>
  <si>
    <t>1+500</t>
  </si>
  <si>
    <t>1+600</t>
  </si>
  <si>
    <t>1+700</t>
  </si>
  <si>
    <t>1+800</t>
  </si>
  <si>
    <t>1+900</t>
  </si>
  <si>
    <t>2+000</t>
  </si>
  <si>
    <t>2+116-3+480</t>
  </si>
  <si>
    <t>3+570</t>
  </si>
  <si>
    <t>3+633</t>
  </si>
  <si>
    <t>3+719</t>
  </si>
  <si>
    <t>3+825</t>
  </si>
  <si>
    <t>3+883</t>
  </si>
  <si>
    <t>石方砌筑</t>
  </si>
  <si>
    <r>
      <t>挖方</t>
    </r>
    <r>
      <rPr>
        <sz val="10.5"/>
        <color indexed="8"/>
        <rFont val="Times New Roman"/>
        <family val="1"/>
      </rPr>
      <t>(m</t>
    </r>
    <r>
      <rPr>
        <vertAlign val="superscript"/>
        <sz val="10.5"/>
        <color indexed="8"/>
        <rFont val="Times New Roman"/>
        <family val="1"/>
      </rPr>
      <t>3</t>
    </r>
    <r>
      <rPr>
        <sz val="10.5"/>
        <color indexed="8"/>
        <rFont val="Times New Roman"/>
        <family val="1"/>
      </rPr>
      <t>)</t>
    </r>
  </si>
  <si>
    <r>
      <t>堤防</t>
    </r>
    <r>
      <rPr>
        <sz val="10.5"/>
        <color indexed="8"/>
        <rFont val="Times New Roman"/>
        <family val="1"/>
      </rPr>
      <t>(m</t>
    </r>
    <r>
      <rPr>
        <vertAlign val="superscript"/>
        <sz val="10.5"/>
        <color indexed="8"/>
        <rFont val="Times New Roman"/>
        <family val="1"/>
      </rPr>
      <t>3</t>
    </r>
    <r>
      <rPr>
        <sz val="10.5"/>
        <color indexed="8"/>
        <rFont val="Times New Roman"/>
        <family val="1"/>
      </rPr>
      <t>)</t>
    </r>
  </si>
  <si>
    <r>
      <t>(m</t>
    </r>
    <r>
      <rPr>
        <vertAlign val="superscript"/>
        <sz val="10.5"/>
        <color indexed="8"/>
        <rFont val="Times New Roman"/>
        <family val="1"/>
      </rPr>
      <t>3</t>
    </r>
    <r>
      <rPr>
        <sz val="10.5"/>
        <color indexed="8"/>
        <rFont val="Times New Roman"/>
        <family val="1"/>
      </rPr>
      <t>)</t>
    </r>
  </si>
  <si>
    <t>防洪墙工程</t>
  </si>
  <si>
    <t>左岸1号防洪墙</t>
  </si>
  <si>
    <t>左岸2号防洪墙</t>
  </si>
  <si>
    <t>右岸1号防洪墙</t>
  </si>
  <si>
    <t>右岸2号防洪墙</t>
  </si>
  <si>
    <t>护坡工程</t>
  </si>
  <si>
    <t>左岸护坡工程</t>
  </si>
  <si>
    <t>右岸护坡工程</t>
  </si>
  <si>
    <t>左岸护岸工程</t>
  </si>
  <si>
    <t>右岸护岸工程</t>
  </si>
  <si>
    <t>建筑物工程</t>
  </si>
  <si>
    <r>
      <t>项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目</t>
    </r>
  </si>
  <si>
    <t>挖方（自然方）</t>
  </si>
  <si>
    <t>填方（压实方）</t>
  </si>
  <si>
    <t>填方（自然方）</t>
  </si>
  <si>
    <t>借方</t>
  </si>
  <si>
    <t>弃方（自然方）</t>
  </si>
  <si>
    <t>来源</t>
  </si>
  <si>
    <t>去向</t>
  </si>
  <si>
    <t>集中料场</t>
  </si>
  <si>
    <t>运至弃渣场堆放</t>
  </si>
  <si>
    <t>施工生产生活区</t>
  </si>
  <si>
    <t>剥离表土临时堆放，施工后回覆</t>
  </si>
  <si>
    <t>临时施工道路</t>
  </si>
  <si>
    <t>排水沟土方开挖，施工后回覆</t>
  </si>
  <si>
    <t>施工监理服务收费=施工监理服务收费基准价×（1±浮动幅度值）</t>
  </si>
  <si>
    <t>施工监理服务收费基准价=施工监理服务收费基价×专业调整系数×工程复杂程度调整系数×高程调整系数</t>
  </si>
  <si>
    <t>监理费</t>
  </si>
  <si>
    <t>施工监理服务收费基准价</t>
  </si>
  <si>
    <t>计费额</t>
  </si>
  <si>
    <t>收费基价</t>
  </si>
  <si>
    <t>2′</t>
  </si>
  <si>
    <t>S30019</t>
  </si>
  <si>
    <r>
      <t xml:space="preserve">洒水车 </t>
    </r>
    <r>
      <rPr>
        <sz val="12"/>
        <rFont val="宋体"/>
        <family val="0"/>
      </rPr>
      <t xml:space="preserve"> 4m</t>
    </r>
    <r>
      <rPr>
        <vertAlign val="superscript"/>
        <sz val="12"/>
        <rFont val="宋体"/>
        <family val="0"/>
      </rPr>
      <t>3</t>
    </r>
  </si>
  <si>
    <r>
      <t>坝体填筑（1</t>
    </r>
    <r>
      <rPr>
        <sz val="12"/>
        <rFont val="宋体"/>
        <family val="0"/>
      </rPr>
      <t>0</t>
    </r>
    <r>
      <rPr>
        <sz val="12"/>
        <rFont val="宋体"/>
        <family val="0"/>
      </rPr>
      <t>km</t>
    </r>
    <r>
      <rPr>
        <sz val="12"/>
        <rFont val="宋体"/>
        <family val="0"/>
      </rPr>
      <t>）</t>
    </r>
  </si>
  <si>
    <r>
      <t>（10626-3+10627×</t>
    </r>
    <r>
      <rPr>
        <sz val="12"/>
        <rFont val="宋体"/>
        <family val="0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×1.18 30075 10526×0.2</t>
    </r>
  </si>
  <si>
    <r>
      <t>施工方法：103kw推土机推土，1m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挖掘机开挖（Ⅲ类土），</t>
    </r>
    <r>
      <rPr>
        <sz val="12"/>
        <rFont val="宋体"/>
        <family val="0"/>
      </rPr>
      <t>10t</t>
    </r>
    <r>
      <rPr>
        <sz val="12"/>
        <rFont val="宋体"/>
        <family val="0"/>
      </rPr>
      <t>自卸汽车运输，运距10</t>
    </r>
    <r>
      <rPr>
        <sz val="12"/>
        <rFont val="宋体"/>
        <family val="0"/>
      </rPr>
      <t>km，</t>
    </r>
    <r>
      <rPr>
        <sz val="12"/>
        <rFont val="宋体"/>
        <family val="0"/>
      </rPr>
      <t>土石坝物料压实（自料场直接运输上坝）（干密度16.67kN/m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）。</t>
    </r>
  </si>
  <si>
    <r>
      <t>推土机1</t>
    </r>
    <r>
      <rPr>
        <sz val="12"/>
        <rFont val="宋体"/>
        <family val="0"/>
      </rPr>
      <t>03km</t>
    </r>
  </si>
  <si>
    <t xml:space="preserve"> 推土机74kw</t>
  </si>
  <si>
    <t>10526×1.18  30075</t>
  </si>
  <si>
    <r>
      <t>施工方法：103kw推土机推表（Ⅰ-Ⅱ类）土，距离2</t>
    </r>
    <r>
      <rPr>
        <sz val="12"/>
        <rFont val="宋体"/>
        <family val="0"/>
      </rPr>
      <t>0m。</t>
    </r>
  </si>
  <si>
    <r>
      <t>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单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价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表</t>
    </r>
  </si>
  <si>
    <t>地区类别：六类</t>
  </si>
  <si>
    <t>定额人工等级：</t>
  </si>
  <si>
    <r>
      <t>序</t>
    </r>
    <r>
      <rPr>
        <sz val="9"/>
        <rFont val="宋体"/>
        <family val="0"/>
      </rPr>
      <t xml:space="preserve">   </t>
    </r>
    <r>
      <rPr>
        <sz val="12"/>
        <rFont val="宋体"/>
        <family val="0"/>
      </rPr>
      <t>号</t>
    </r>
  </si>
  <si>
    <r>
      <t>项</t>
    </r>
    <r>
      <rPr>
        <sz val="9"/>
        <rFont val="宋体"/>
        <family val="0"/>
      </rPr>
      <t xml:space="preserve">          </t>
    </r>
    <r>
      <rPr>
        <sz val="12"/>
        <rFont val="宋体"/>
        <family val="0"/>
      </rPr>
      <t>目</t>
    </r>
  </si>
  <si>
    <r>
      <t>计</t>
    </r>
    <r>
      <rPr>
        <sz val="9"/>
        <rFont val="宋体"/>
        <family val="0"/>
      </rPr>
      <t xml:space="preserve">         </t>
    </r>
    <r>
      <rPr>
        <sz val="12"/>
        <rFont val="宋体"/>
        <family val="0"/>
      </rPr>
      <t>算</t>
    </r>
    <r>
      <rPr>
        <sz val="9"/>
        <rFont val="宋体"/>
        <family val="0"/>
      </rPr>
      <t xml:space="preserve">         </t>
    </r>
    <r>
      <rPr>
        <sz val="12"/>
        <rFont val="宋体"/>
        <family val="0"/>
      </rPr>
      <t>公</t>
    </r>
    <r>
      <rPr>
        <sz val="9"/>
        <rFont val="宋体"/>
        <family val="0"/>
      </rPr>
      <t xml:space="preserve">        </t>
    </r>
    <r>
      <rPr>
        <sz val="12"/>
        <rFont val="宋体"/>
        <family val="0"/>
      </rPr>
      <t>式</t>
    </r>
  </si>
  <si>
    <t>基本工资</t>
  </si>
  <si>
    <t>×1×12÷251×1.068</t>
  </si>
  <si>
    <t>辅助工资</t>
  </si>
  <si>
    <t>(1)+(2)+(3)+(4)</t>
  </si>
  <si>
    <t>⑴</t>
  </si>
  <si>
    <t>地区津贴</t>
  </si>
  <si>
    <t>45×12÷251×1.068</t>
  </si>
  <si>
    <t>⑵</t>
  </si>
  <si>
    <t>施工津贴</t>
  </si>
  <si>
    <t>3.5×365×95%÷251×1.068×50%</t>
  </si>
  <si>
    <t>⑶</t>
  </si>
  <si>
    <t>夜餐津贴</t>
  </si>
  <si>
    <t>(4.5+3.5)÷2×20%</t>
  </si>
  <si>
    <t>⑷</t>
  </si>
  <si>
    <t>节日加班津贴</t>
  </si>
  <si>
    <t>×3×10÷251×35%</t>
  </si>
  <si>
    <t>工资附加费</t>
  </si>
  <si>
    <t>(1)+(2)+(3)+(4)+(5)+(6)+(7)</t>
  </si>
  <si>
    <t>职工福利基金</t>
  </si>
  <si>
    <t>(9.70+6.09)</t>
  </si>
  <si>
    <t>×</t>
  </si>
  <si>
    <t>工会经费</t>
  </si>
  <si>
    <t>养老保险费</t>
  </si>
  <si>
    <t>医疗保险费</t>
  </si>
  <si>
    <t>⑸</t>
  </si>
  <si>
    <t>工伤保险费</t>
  </si>
  <si>
    <t>⑹</t>
  </si>
  <si>
    <t>职工失业保险基金</t>
  </si>
  <si>
    <t>⑺</t>
  </si>
  <si>
    <t>住房公积金</t>
  </si>
  <si>
    <t>人工工日预算单价</t>
  </si>
  <si>
    <t>人工工时预算单价</t>
  </si>
  <si>
    <t>3.5×365×95%÷251×1.068</t>
  </si>
  <si>
    <t>(14.3+8.86)</t>
  </si>
  <si>
    <t>(17.87+9.01)</t>
  </si>
  <si>
    <t>(19.66+9.08)</t>
  </si>
  <si>
    <t>害堤动物防治</t>
  </si>
  <si>
    <t>（三）</t>
  </si>
  <si>
    <t>（四）</t>
  </si>
  <si>
    <t>(四)</t>
  </si>
  <si>
    <t>项目名称：鹤岗市2024年度小型水库维修养护及害堤动物防治项目</t>
  </si>
  <si>
    <t>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</si>
</sst>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"/>
    <numFmt numFmtId="179" formatCode="0.00_ "/>
    <numFmt numFmtId="180" formatCode="0_ "/>
    <numFmt numFmtId="181" formatCode="0.000_ "/>
    <numFmt numFmtId="182" formatCode="0.000"/>
    <numFmt numFmtId="183" formatCode="0.0_ "/>
    <numFmt numFmtId="184" formatCode="0.0_);[Red]\(0.0\)"/>
    <numFmt numFmtId="185" formatCode="0_);[Red]\(0\)"/>
    <numFmt numFmtId="186" formatCode="0.0000"/>
    <numFmt numFmtId="187" formatCode="0.00000_ "/>
  </numFmts>
  <fonts count="8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vertAlign val="superscript"/>
      <sz val="12"/>
      <name val="宋体"/>
      <family val="0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2"/>
      <color indexed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20"/>
      <name val="宋体"/>
      <family val="0"/>
    </font>
    <font>
      <vertAlign val="superscript"/>
      <sz val="10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.5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sz val="10.5"/>
      <color indexed="8"/>
      <name val="宋体"/>
      <family val="0"/>
    </font>
    <font>
      <vertAlign val="superscript"/>
      <sz val="12"/>
      <color indexed="8"/>
      <name val="宋体"/>
      <family val="0"/>
    </font>
    <font>
      <vertAlign val="superscript"/>
      <sz val="11"/>
      <color indexed="8"/>
      <name val="宋体"/>
      <family val="0"/>
    </font>
    <font>
      <vertAlign val="superscript"/>
      <sz val="10"/>
      <name val="宋体"/>
      <family val="0"/>
    </font>
    <font>
      <sz val="8"/>
      <name val="宋体"/>
      <family val="0"/>
    </font>
    <font>
      <vertAlign val="superscript"/>
      <sz val="9"/>
      <name val="Times New Roman"/>
      <family val="1"/>
    </font>
    <font>
      <u val="single"/>
      <sz val="10"/>
      <name val="宋体"/>
      <family val="0"/>
    </font>
    <font>
      <b/>
      <u val="single"/>
      <sz val="12"/>
      <name val="宋体"/>
      <family val="0"/>
    </font>
    <font>
      <vertAlign val="superscript"/>
      <sz val="11"/>
      <name val="宋体"/>
      <family val="0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宋体"/>
      <family val="0"/>
    </font>
    <font>
      <b/>
      <sz val="20"/>
      <color indexed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"/>
      <family val="3"/>
    </font>
    <font>
      <sz val="10.5"/>
      <color indexed="8"/>
      <name val="仿宋"/>
      <family val="3"/>
    </font>
    <font>
      <b/>
      <sz val="10.5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黑体"/>
      <family val="3"/>
    </font>
    <font>
      <sz val="36"/>
      <color indexed="8"/>
      <name val="宋体"/>
      <family val="0"/>
    </font>
    <font>
      <sz val="24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20"/>
      <color rgb="FFFF0000"/>
      <name val="Calibri"/>
      <family val="0"/>
    </font>
    <font>
      <b/>
      <sz val="20"/>
      <color theme="1"/>
      <name val="Calibri"/>
      <family val="0"/>
    </font>
    <font>
      <sz val="12"/>
      <color rgb="FF000000"/>
      <name val="仿宋"/>
      <family val="3"/>
    </font>
    <font>
      <sz val="10.5"/>
      <color rgb="FF000000"/>
      <name val="仿宋"/>
      <family val="3"/>
    </font>
    <font>
      <b/>
      <sz val="10.5"/>
      <color rgb="FF000000"/>
      <name val="仿宋"/>
      <family val="3"/>
    </font>
    <font>
      <b/>
      <sz val="12"/>
      <color rgb="FF000000"/>
      <name val="仿宋"/>
      <family val="3"/>
    </font>
    <font>
      <sz val="12"/>
      <color rgb="FF000000"/>
      <name val="黑体"/>
      <family val="3"/>
    </font>
    <font>
      <sz val="36"/>
      <color theme="1"/>
      <name val="Calibri"/>
      <family val="0"/>
    </font>
    <font>
      <sz val="24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宋体"/>
      <family val="0"/>
    </font>
    <font>
      <sz val="11"/>
      <color rgb="FFFF0000"/>
      <name val="Calibri"/>
      <family val="0"/>
    </font>
    <font>
      <sz val="20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ck">
        <color rgb="FFFF0000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00"/>
      </left>
      <right style="thin"/>
      <top/>
      <bottom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thin"/>
    </border>
    <border>
      <left/>
      <right>
        <color indexed="63"/>
      </right>
      <top/>
      <bottom style="thick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6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18" borderId="0" applyNumberFormat="0" applyBorder="0" applyAlignment="0" applyProtection="0"/>
    <xf numFmtId="0" fontId="32" fillId="16" borderId="8" applyNumberFormat="0" applyAlignment="0" applyProtection="0"/>
    <xf numFmtId="0" fontId="31" fillId="7" borderId="5" applyNumberFormat="0" applyAlignment="0" applyProtection="0"/>
    <xf numFmtId="0" fontId="25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0" fillId="23" borderId="9" applyNumberFormat="0" applyFont="0" applyAlignment="0" applyProtection="0"/>
  </cellStyleXfs>
  <cellXfs count="5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48">
      <alignment/>
      <protection/>
    </xf>
    <xf numFmtId="179" fontId="0" fillId="0" borderId="0" xfId="48" applyNumberFormat="1">
      <alignment/>
      <protection/>
    </xf>
    <xf numFmtId="180" fontId="10" fillId="24" borderId="14" xfId="48" applyNumberFormat="1" applyFont="1" applyFill="1" applyBorder="1">
      <alignment/>
      <protection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179" fontId="72" fillId="0" borderId="27" xfId="0" applyNumberFormat="1" applyFont="1" applyBorder="1" applyAlignment="1">
      <alignment horizontal="center" vertical="center" wrapText="1"/>
    </xf>
    <xf numFmtId="2" fontId="72" fillId="0" borderId="27" xfId="0" applyNumberFormat="1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179" fontId="72" fillId="0" borderId="27" xfId="0" applyNumberFormat="1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2" fontId="72" fillId="0" borderId="27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73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0" fontId="70" fillId="0" borderId="14" xfId="49" applyBorder="1">
      <alignment vertical="center"/>
      <protection/>
    </xf>
    <xf numFmtId="0" fontId="70" fillId="0" borderId="0" xfId="49" applyBorder="1">
      <alignment vertical="center"/>
      <protection/>
    </xf>
    <xf numFmtId="0" fontId="70" fillId="0" borderId="0" xfId="49">
      <alignment vertical="center"/>
      <protection/>
    </xf>
    <xf numFmtId="0" fontId="70" fillId="0" borderId="0" xfId="49" applyAlignment="1">
      <alignment horizontal="center" vertical="center"/>
      <protection/>
    </xf>
    <xf numFmtId="0" fontId="70" fillId="0" borderId="0" xfId="49" applyBorder="1" applyAlignment="1">
      <alignment horizontal="center" vertical="center"/>
      <protection/>
    </xf>
    <xf numFmtId="0" fontId="73" fillId="0" borderId="14" xfId="49" applyFont="1" applyBorder="1" applyAlignment="1">
      <alignment horizontal="center" vertical="center"/>
      <protection/>
    </xf>
    <xf numFmtId="0" fontId="70" fillId="0" borderId="14" xfId="49" applyBorder="1" applyAlignment="1">
      <alignment horizontal="center" vertical="center"/>
      <protection/>
    </xf>
    <xf numFmtId="0" fontId="70" fillId="0" borderId="32" xfId="49" applyBorder="1" applyAlignment="1">
      <alignment horizontal="center" vertical="center"/>
      <protection/>
    </xf>
    <xf numFmtId="0" fontId="73" fillId="0" borderId="33" xfId="49" applyFont="1" applyFill="1" applyBorder="1" applyAlignment="1">
      <alignment horizontal="center" vertical="center"/>
      <protection/>
    </xf>
    <xf numFmtId="0" fontId="70" fillId="0" borderId="15" xfId="49" applyBorder="1" applyAlignment="1">
      <alignment horizontal="center" vertical="center"/>
      <protection/>
    </xf>
    <xf numFmtId="0" fontId="70" fillId="0" borderId="34" xfId="49" applyBorder="1" applyAlignment="1">
      <alignment horizontal="center" vertical="center"/>
      <protection/>
    </xf>
    <xf numFmtId="0" fontId="70" fillId="0" borderId="29" xfId="49" applyBorder="1" applyAlignment="1">
      <alignment horizontal="center" vertical="center"/>
      <protection/>
    </xf>
    <xf numFmtId="0" fontId="74" fillId="0" borderId="29" xfId="49" applyFont="1" applyBorder="1" applyAlignment="1">
      <alignment horizontal="center" vertical="center"/>
      <protection/>
    </xf>
    <xf numFmtId="0" fontId="70" fillId="0" borderId="35" xfId="49" applyBorder="1" applyAlignment="1">
      <alignment horizontal="center" vertical="center"/>
      <protection/>
    </xf>
    <xf numFmtId="0" fontId="70" fillId="0" borderId="30" xfId="49" applyBorder="1" applyAlignment="1">
      <alignment horizontal="center" vertical="center"/>
      <protection/>
    </xf>
    <xf numFmtId="0" fontId="70" fillId="0" borderId="36" xfId="49" applyBorder="1" applyAlignment="1">
      <alignment horizontal="center" vertical="center"/>
      <protection/>
    </xf>
    <xf numFmtId="0" fontId="70" fillId="0" borderId="37" xfId="49" applyBorder="1" applyAlignment="1">
      <alignment horizontal="center" vertical="center"/>
      <protection/>
    </xf>
    <xf numFmtId="0" fontId="70" fillId="0" borderId="37" xfId="49" applyBorder="1">
      <alignment vertical="center"/>
      <protection/>
    </xf>
    <xf numFmtId="0" fontId="75" fillId="0" borderId="37" xfId="49" applyFont="1" applyFill="1" applyBorder="1" applyAlignment="1">
      <alignment horizontal="center" vertical="center"/>
      <protection/>
    </xf>
    <xf numFmtId="0" fontId="73" fillId="0" borderId="38" xfId="49" applyFont="1" applyFill="1" applyBorder="1" applyAlignment="1">
      <alignment horizontal="center" vertical="center"/>
      <protection/>
    </xf>
    <xf numFmtId="0" fontId="73" fillId="0" borderId="0" xfId="49" applyFont="1" applyFill="1" applyBorder="1" applyAlignment="1">
      <alignment horizontal="center" vertical="center"/>
      <protection/>
    </xf>
    <xf numFmtId="0" fontId="70" fillId="0" borderId="38" xfId="49" applyBorder="1" applyAlignment="1">
      <alignment horizontal="center" vertical="center"/>
      <protection/>
    </xf>
    <xf numFmtId="0" fontId="73" fillId="0" borderId="29" xfId="49" applyFont="1" applyBorder="1" applyAlignment="1">
      <alignment horizontal="center" vertical="center"/>
      <protection/>
    </xf>
    <xf numFmtId="0" fontId="74" fillId="0" borderId="37" xfId="49" applyFont="1" applyBorder="1" applyAlignment="1">
      <alignment horizontal="center" vertical="center"/>
      <protection/>
    </xf>
    <xf numFmtId="0" fontId="75" fillId="0" borderId="29" xfId="49" applyFont="1" applyBorder="1" applyAlignment="1">
      <alignment horizontal="center" vertical="center"/>
      <protection/>
    </xf>
    <xf numFmtId="0" fontId="70" fillId="0" borderId="30" xfId="49" applyBorder="1">
      <alignment vertical="center"/>
      <protection/>
    </xf>
    <xf numFmtId="0" fontId="70" fillId="0" borderId="14" xfId="49" applyFont="1" applyFill="1" applyBorder="1" applyAlignment="1">
      <alignment horizontal="center" vertical="center"/>
      <protection/>
    </xf>
    <xf numFmtId="0" fontId="70" fillId="0" borderId="39" xfId="49" applyBorder="1">
      <alignment vertical="center"/>
      <protection/>
    </xf>
    <xf numFmtId="0" fontId="70" fillId="0" borderId="17" xfId="49" applyBorder="1" applyAlignment="1">
      <alignment vertical="center"/>
      <protection/>
    </xf>
    <xf numFmtId="0" fontId="70" fillId="0" borderId="18" xfId="49" applyBorder="1" applyAlignment="1">
      <alignment vertical="center"/>
      <protection/>
    </xf>
    <xf numFmtId="2" fontId="70" fillId="0" borderId="14" xfId="49" applyNumberFormat="1" applyBorder="1" applyAlignment="1">
      <alignment horizontal="center" vertical="center"/>
      <protection/>
    </xf>
    <xf numFmtId="2" fontId="70" fillId="0" borderId="14" xfId="49" applyNumberFormat="1" applyFill="1" applyBorder="1" applyAlignment="1">
      <alignment horizontal="center" vertical="center"/>
      <protection/>
    </xf>
    <xf numFmtId="2" fontId="74" fillId="0" borderId="14" xfId="49" applyNumberFormat="1" applyFont="1" applyFill="1" applyBorder="1" applyAlignment="1">
      <alignment horizontal="center" vertical="center"/>
      <protection/>
    </xf>
    <xf numFmtId="0" fontId="75" fillId="0" borderId="14" xfId="49" applyFont="1" applyBorder="1" applyAlignment="1">
      <alignment horizontal="center" vertical="center"/>
      <protection/>
    </xf>
    <xf numFmtId="2" fontId="70" fillId="0" borderId="0" xfId="49" applyNumberFormat="1" applyBorder="1" applyAlignment="1">
      <alignment horizontal="center" vertical="center"/>
      <protection/>
    </xf>
    <xf numFmtId="0" fontId="70" fillId="0" borderId="31" xfId="49" applyBorder="1" applyAlignment="1">
      <alignment horizontal="center" vertical="center"/>
      <protection/>
    </xf>
    <xf numFmtId="0" fontId="70" fillId="0" borderId="40" xfId="49" applyBorder="1">
      <alignment vertical="center"/>
      <protection/>
    </xf>
    <xf numFmtId="2" fontId="73" fillId="0" borderId="40" xfId="49" applyNumberFormat="1" applyFont="1" applyFill="1" applyBorder="1" applyAlignment="1">
      <alignment horizontal="center" vertical="center"/>
      <protection/>
    </xf>
    <xf numFmtId="0" fontId="73" fillId="0" borderId="40" xfId="49" applyFont="1" applyBorder="1" applyAlignment="1">
      <alignment horizontal="center" vertical="center"/>
      <protection/>
    </xf>
    <xf numFmtId="0" fontId="70" fillId="0" borderId="41" xfId="49" applyBorder="1">
      <alignment vertical="center"/>
      <protection/>
    </xf>
    <xf numFmtId="0" fontId="70" fillId="0" borderId="42" xfId="49" applyBorder="1" applyAlignment="1">
      <alignment horizontal="center" vertical="center"/>
      <protection/>
    </xf>
    <xf numFmtId="0" fontId="70" fillId="0" borderId="42" xfId="49" applyBorder="1">
      <alignment vertical="center"/>
      <protection/>
    </xf>
    <xf numFmtId="2" fontId="70" fillId="0" borderId="42" xfId="49" applyNumberFormat="1" applyBorder="1" applyAlignment="1">
      <alignment horizontal="center" vertical="center"/>
      <protection/>
    </xf>
    <xf numFmtId="0" fontId="75" fillId="0" borderId="42" xfId="49" applyFont="1" applyBorder="1" applyAlignment="1">
      <alignment horizontal="center" vertical="center"/>
      <protection/>
    </xf>
    <xf numFmtId="0" fontId="70" fillId="0" borderId="43" xfId="49" applyBorder="1">
      <alignment vertical="center"/>
      <protection/>
    </xf>
    <xf numFmtId="2" fontId="70" fillId="0" borderId="14" xfId="49" applyNumberFormat="1" applyBorder="1">
      <alignment vertical="center"/>
      <protection/>
    </xf>
    <xf numFmtId="2" fontId="70" fillId="0" borderId="42" xfId="49" applyNumberFormat="1" applyBorder="1">
      <alignment vertical="center"/>
      <protection/>
    </xf>
    <xf numFmtId="0" fontId="73" fillId="0" borderId="44" xfId="49" applyFont="1" applyBorder="1" applyAlignment="1">
      <alignment horizontal="center" vertical="center"/>
      <protection/>
    </xf>
    <xf numFmtId="0" fontId="70" fillId="0" borderId="18" xfId="49" applyBorder="1">
      <alignment vertical="center"/>
      <protection/>
    </xf>
    <xf numFmtId="0" fontId="70" fillId="0" borderId="14" xfId="0" applyFont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8" fontId="74" fillId="0" borderId="46" xfId="0" applyNumberFormat="1" applyFont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178" fontId="74" fillId="0" borderId="4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6" borderId="14" xfId="0" applyFill="1" applyBorder="1" applyAlignment="1">
      <alignment vertical="center"/>
    </xf>
    <xf numFmtId="179" fontId="0" fillId="0" borderId="14" xfId="0" applyNumberFormat="1" applyBorder="1" applyAlignment="1">
      <alignment horizontal="center" vertical="center"/>
    </xf>
    <xf numFmtId="0" fontId="70" fillId="27" borderId="14" xfId="49" applyFill="1" applyBorder="1" applyAlignment="1">
      <alignment horizontal="center" vertical="center"/>
      <protection/>
    </xf>
    <xf numFmtId="0" fontId="70" fillId="0" borderId="14" xfId="49" applyFont="1" applyBorder="1" applyAlignment="1">
      <alignment horizontal="center" vertical="center"/>
      <protection/>
    </xf>
    <xf numFmtId="0" fontId="70" fillId="25" borderId="14" xfId="49" applyFill="1" applyBorder="1" applyAlignment="1">
      <alignment horizontal="center" vertical="center"/>
      <protection/>
    </xf>
    <xf numFmtId="0" fontId="70" fillId="0" borderId="20" xfId="49" applyBorder="1" applyAlignment="1">
      <alignment horizontal="center" vertical="center"/>
      <protection/>
    </xf>
    <xf numFmtId="2" fontId="70" fillId="0" borderId="29" xfId="49" applyNumberFormat="1" applyBorder="1" applyAlignment="1">
      <alignment horizontal="center" vertical="center"/>
      <protection/>
    </xf>
    <xf numFmtId="0" fontId="70" fillId="0" borderId="45" xfId="49" applyFont="1" applyBorder="1" applyAlignment="1">
      <alignment horizontal="center" vertical="center"/>
      <protection/>
    </xf>
    <xf numFmtId="0" fontId="70" fillId="0" borderId="46" xfId="49" applyBorder="1" applyAlignment="1">
      <alignment horizontal="center" vertical="center"/>
      <protection/>
    </xf>
    <xf numFmtId="178" fontId="74" fillId="0" borderId="46" xfId="49" applyNumberFormat="1" applyFont="1" applyBorder="1" applyAlignment="1">
      <alignment horizontal="center" vertical="center"/>
      <protection/>
    </xf>
    <xf numFmtId="0" fontId="76" fillId="0" borderId="29" xfId="49" applyFont="1" applyBorder="1" applyAlignment="1">
      <alignment horizontal="center" vertical="center"/>
      <protection/>
    </xf>
    <xf numFmtId="0" fontId="77" fillId="0" borderId="29" xfId="49" applyFont="1" applyBorder="1" applyAlignment="1">
      <alignment horizontal="center" vertical="center"/>
      <protection/>
    </xf>
    <xf numFmtId="0" fontId="70" fillId="25" borderId="20" xfId="49" applyFill="1" applyBorder="1" applyAlignment="1">
      <alignment horizontal="center" vertical="center"/>
      <protection/>
    </xf>
    <xf numFmtId="0" fontId="70" fillId="0" borderId="20" xfId="49" applyFont="1" applyFill="1" applyBorder="1" applyAlignment="1">
      <alignment horizontal="center" vertical="center"/>
      <protection/>
    </xf>
    <xf numFmtId="0" fontId="70" fillId="27" borderId="20" xfId="49" applyFill="1" applyBorder="1" applyAlignment="1">
      <alignment horizontal="center" vertical="center"/>
      <protection/>
    </xf>
    <xf numFmtId="0" fontId="74" fillId="27" borderId="49" xfId="49" applyFont="1" applyFill="1" applyBorder="1" applyAlignment="1">
      <alignment horizontal="center" vertical="center"/>
      <protection/>
    </xf>
    <xf numFmtId="0" fontId="70" fillId="27" borderId="50" xfId="49" applyFill="1" applyBorder="1" applyAlignment="1">
      <alignment horizontal="center" vertical="center"/>
      <protection/>
    </xf>
    <xf numFmtId="0" fontId="74" fillId="27" borderId="50" xfId="49" applyFont="1" applyFill="1" applyBorder="1" applyAlignment="1">
      <alignment horizontal="center" vertical="center"/>
      <protection/>
    </xf>
    <xf numFmtId="0" fontId="70" fillId="25" borderId="30" xfId="49" applyFill="1" applyBorder="1" applyAlignment="1">
      <alignment horizontal="center" vertical="center"/>
      <protection/>
    </xf>
    <xf numFmtId="2" fontId="70" fillId="0" borderId="30" xfId="49" applyNumberFormat="1" applyBorder="1" applyAlignment="1">
      <alignment horizontal="center" vertical="center"/>
      <protection/>
    </xf>
    <xf numFmtId="0" fontId="70" fillId="25" borderId="0" xfId="49" applyFill="1" applyBorder="1" applyAlignment="1">
      <alignment horizontal="center" vertical="center"/>
      <protection/>
    </xf>
    <xf numFmtId="0" fontId="70" fillId="0" borderId="47" xfId="49" applyBorder="1">
      <alignment vertical="center"/>
      <protection/>
    </xf>
    <xf numFmtId="0" fontId="70" fillId="0" borderId="48" xfId="49" applyBorder="1" applyAlignment="1">
      <alignment horizontal="center" vertical="center"/>
      <protection/>
    </xf>
    <xf numFmtId="178" fontId="74" fillId="0" borderId="48" xfId="49" applyNumberFormat="1" applyFont="1" applyBorder="1" applyAlignment="1">
      <alignment horizontal="center" vertical="center"/>
      <protection/>
    </xf>
    <xf numFmtId="0" fontId="70" fillId="0" borderId="20" xfId="49" applyFont="1" applyBorder="1" applyAlignment="1">
      <alignment horizontal="center" vertical="center"/>
      <protection/>
    </xf>
    <xf numFmtId="0" fontId="70" fillId="0" borderId="29" xfId="49" applyFont="1" applyBorder="1" applyAlignment="1">
      <alignment horizontal="center" vertical="center"/>
      <protection/>
    </xf>
    <xf numFmtId="0" fontId="70" fillId="0" borderId="14" xfId="49" applyFont="1" applyFill="1" applyBorder="1" applyAlignment="1">
      <alignment vertical="center"/>
      <protection/>
    </xf>
    <xf numFmtId="0" fontId="70" fillId="0" borderId="20" xfId="49" applyFont="1" applyFill="1" applyBorder="1" applyAlignment="1">
      <alignment vertical="center"/>
      <protection/>
    </xf>
    <xf numFmtId="0" fontId="70" fillId="27" borderId="20" xfId="49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74" fillId="27" borderId="51" xfId="49" applyFont="1" applyFill="1" applyBorder="1" applyAlignment="1">
      <alignment horizontal="center" vertical="center"/>
      <protection/>
    </xf>
    <xf numFmtId="0" fontId="70" fillId="27" borderId="18" xfId="49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46" applyFont="1" applyBorder="1" applyAlignment="1">
      <alignment horizontal="center" vertical="center"/>
      <protection/>
    </xf>
    <xf numFmtId="0" fontId="7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28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left" vertical="center"/>
    </xf>
    <xf numFmtId="0" fontId="12" fillId="28" borderId="14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/>
    </xf>
    <xf numFmtId="0" fontId="6" fillId="28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14" xfId="42" applyBorder="1" applyAlignment="1">
      <alignment horizontal="center" vertical="center"/>
      <protection/>
    </xf>
    <xf numFmtId="0" fontId="0" fillId="0" borderId="14" xfId="47" applyBorder="1" applyAlignment="1">
      <alignment horizontal="center" vertical="center"/>
      <protection/>
    </xf>
    <xf numFmtId="0" fontId="4" fillId="0" borderId="14" xfId="47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0" xfId="47">
      <alignment/>
      <protection/>
    </xf>
    <xf numFmtId="0" fontId="2" fillId="0" borderId="0" xfId="47" applyFont="1" applyAlignment="1">
      <alignment horizontal="center"/>
      <protection/>
    </xf>
    <xf numFmtId="0" fontId="0" fillId="0" borderId="14" xfId="47" applyFont="1" applyFill="1" applyBorder="1" applyAlignment="1">
      <alignment horizontal="center" vertical="center"/>
      <protection/>
    </xf>
    <xf numFmtId="2" fontId="0" fillId="0" borderId="14" xfId="47" applyNumberFormat="1" applyFont="1" applyFill="1" applyBorder="1" applyAlignment="1">
      <alignment horizontal="center" vertical="center"/>
      <protection/>
    </xf>
    <xf numFmtId="177" fontId="0" fillId="0" borderId="14" xfId="47" applyNumberFormat="1" applyFont="1" applyFill="1" applyBorder="1" applyAlignment="1">
      <alignment horizontal="center" vertical="center"/>
      <protection/>
    </xf>
    <xf numFmtId="178" fontId="0" fillId="0" borderId="14" xfId="47" applyNumberFormat="1" applyFont="1" applyFill="1" applyBorder="1" applyAlignment="1">
      <alignment horizontal="center" vertical="center"/>
      <protection/>
    </xf>
    <xf numFmtId="1" fontId="0" fillId="0" borderId="14" xfId="47" applyNumberFormat="1" applyFont="1" applyFill="1" applyBorder="1" applyAlignment="1">
      <alignment horizontal="center" vertical="center"/>
      <protection/>
    </xf>
    <xf numFmtId="2" fontId="7" fillId="0" borderId="14" xfId="47" applyNumberFormat="1" applyFont="1" applyFill="1" applyBorder="1" applyAlignment="1">
      <alignment horizontal="center" vertical="center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0" fillId="0" borderId="14" xfId="47" applyFill="1" applyBorder="1" applyAlignment="1">
      <alignment horizontal="center" vertical="center"/>
      <protection/>
    </xf>
    <xf numFmtId="0" fontId="0" fillId="0" borderId="14" xfId="47" applyFont="1" applyBorder="1" applyAlignment="1">
      <alignment horizontal="center" vertical="center"/>
      <protection/>
    </xf>
    <xf numFmtId="1" fontId="0" fillId="0" borderId="14" xfId="47" applyNumberFormat="1" applyFont="1" applyBorder="1" applyAlignment="1">
      <alignment horizontal="center" vertical="center"/>
      <protection/>
    </xf>
    <xf numFmtId="2" fontId="7" fillId="0" borderId="14" xfId="47" applyNumberFormat="1" applyFont="1" applyBorder="1" applyAlignment="1">
      <alignment horizontal="center" vertical="center"/>
      <protection/>
    </xf>
    <xf numFmtId="2" fontId="0" fillId="0" borderId="14" xfId="47" applyNumberFormat="1" applyFont="1" applyBorder="1" applyAlignment="1">
      <alignment horizontal="center" vertical="center"/>
      <protection/>
    </xf>
    <xf numFmtId="0" fontId="0" fillId="0" borderId="22" xfId="47" applyBorder="1">
      <alignment/>
      <protection/>
    </xf>
    <xf numFmtId="2" fontId="0" fillId="0" borderId="23" xfId="47" applyNumberFormat="1" applyFont="1" applyFill="1" applyBorder="1" applyAlignment="1">
      <alignment horizontal="center" vertical="center"/>
      <protection/>
    </xf>
    <xf numFmtId="0" fontId="0" fillId="0" borderId="23" xfId="47" applyFont="1" applyFill="1" applyBorder="1" applyAlignment="1">
      <alignment horizontal="center" vertical="center"/>
      <protection/>
    </xf>
    <xf numFmtId="2" fontId="0" fillId="0" borderId="24" xfId="47" applyNumberFormat="1" applyFont="1" applyFill="1" applyBorder="1" applyAlignment="1">
      <alignment horizontal="center" vertical="center"/>
      <protection/>
    </xf>
    <xf numFmtId="0" fontId="0" fillId="0" borderId="14" xfId="47" applyBorder="1">
      <alignment/>
      <protection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43">
      <alignment vertical="center"/>
      <protection/>
    </xf>
    <xf numFmtId="0" fontId="6" fillId="0" borderId="53" xfId="43" applyFont="1" applyFill="1" applyBorder="1" applyAlignment="1">
      <alignment horizontal="center" vertical="center" wrapText="1"/>
      <protection/>
    </xf>
    <xf numFmtId="0" fontId="6" fillId="0" borderId="54" xfId="43" applyFont="1" applyFill="1" applyBorder="1" applyAlignment="1">
      <alignment horizontal="center" vertical="center" wrapText="1"/>
      <protection/>
    </xf>
    <xf numFmtId="0" fontId="6" fillId="0" borderId="14" xfId="43" applyFont="1" applyFill="1" applyBorder="1" applyAlignment="1">
      <alignment horizontal="center" vertical="center" wrapText="1"/>
      <protection/>
    </xf>
    <xf numFmtId="179" fontId="6" fillId="0" borderId="14" xfId="43" applyNumberFormat="1" applyFont="1" applyFill="1" applyBorder="1" applyAlignment="1">
      <alignment horizontal="center" vertical="center" wrapText="1"/>
      <protection/>
    </xf>
    <xf numFmtId="0" fontId="16" fillId="0" borderId="14" xfId="43" applyFont="1" applyFill="1" applyBorder="1" applyAlignment="1">
      <alignment horizontal="center"/>
      <protection/>
    </xf>
    <xf numFmtId="0" fontId="6" fillId="0" borderId="55" xfId="43" applyFont="1" applyFill="1" applyBorder="1" applyAlignment="1">
      <alignment horizontal="center" vertical="center" wrapText="1"/>
      <protection/>
    </xf>
    <xf numFmtId="0" fontId="6" fillId="0" borderId="20" xfId="43" applyFont="1" applyFill="1" applyBorder="1" applyAlignment="1">
      <alignment horizontal="center" vertical="center" wrapText="1"/>
      <protection/>
    </xf>
    <xf numFmtId="0" fontId="17" fillId="0" borderId="56" xfId="43" applyFont="1" applyFill="1" applyBorder="1" applyAlignment="1">
      <alignment horizontal="center" vertical="center" wrapText="1"/>
      <protection/>
    </xf>
    <xf numFmtId="0" fontId="17" fillId="0" borderId="57" xfId="43" applyFont="1" applyFill="1" applyBorder="1" applyAlignment="1">
      <alignment horizontal="center" vertical="center" wrapText="1"/>
      <protection/>
    </xf>
    <xf numFmtId="179" fontId="17" fillId="0" borderId="57" xfId="43" applyNumberFormat="1" applyFont="1" applyFill="1" applyBorder="1" applyAlignment="1">
      <alignment horizontal="center" vertical="center" wrapText="1"/>
      <protection/>
    </xf>
    <xf numFmtId="179" fontId="6" fillId="0" borderId="14" xfId="0" applyNumberFormat="1" applyFont="1" applyFill="1" applyBorder="1" applyAlignment="1">
      <alignment horizontal="center" vertical="center" wrapText="1"/>
    </xf>
    <xf numFmtId="181" fontId="6" fillId="0" borderId="14" xfId="43" applyNumberFormat="1" applyFont="1" applyFill="1" applyBorder="1" applyAlignment="1">
      <alignment horizontal="center" vertical="center" wrapText="1"/>
      <protection/>
    </xf>
    <xf numFmtId="177" fontId="17" fillId="0" borderId="57" xfId="43" applyNumberFormat="1" applyFont="1" applyFill="1" applyBorder="1" applyAlignment="1">
      <alignment horizontal="center" vertical="center" wrapText="1"/>
      <protection/>
    </xf>
    <xf numFmtId="0" fontId="18" fillId="0" borderId="57" xfId="43" applyFont="1" applyFill="1" applyBorder="1">
      <alignment vertical="center"/>
      <protection/>
    </xf>
    <xf numFmtId="179" fontId="15" fillId="0" borderId="0" xfId="43" applyNumberFormat="1">
      <alignment vertical="center"/>
      <protection/>
    </xf>
    <xf numFmtId="177" fontId="15" fillId="0" borderId="0" xfId="43" applyNumberFormat="1">
      <alignment vertical="center"/>
      <protection/>
    </xf>
    <xf numFmtId="0" fontId="6" fillId="0" borderId="58" xfId="43" applyFont="1" applyFill="1" applyBorder="1" applyAlignment="1">
      <alignment horizontal="center" vertical="center" wrapText="1"/>
      <protection/>
    </xf>
    <xf numFmtId="0" fontId="16" fillId="0" borderId="58" xfId="43" applyFont="1" applyFill="1" applyBorder="1" applyAlignment="1">
      <alignment horizontal="center"/>
      <protection/>
    </xf>
    <xf numFmtId="179" fontId="6" fillId="0" borderId="58" xfId="43" applyNumberFormat="1" applyFont="1" applyFill="1" applyBorder="1" applyAlignment="1">
      <alignment horizontal="center" vertical="center" wrapText="1"/>
      <protection/>
    </xf>
    <xf numFmtId="179" fontId="17" fillId="0" borderId="59" xfId="43" applyNumberFormat="1" applyFont="1" applyFill="1" applyBorder="1" applyAlignment="1">
      <alignment horizontal="center" vertical="center" wrapText="1"/>
      <protection/>
    </xf>
    <xf numFmtId="177" fontId="18" fillId="0" borderId="57" xfId="43" applyNumberFormat="1" applyFont="1" applyFill="1" applyBorder="1">
      <alignment vertical="center"/>
      <protection/>
    </xf>
    <xf numFmtId="177" fontId="17" fillId="0" borderId="59" xfId="43" applyNumberFormat="1" applyFont="1" applyFill="1" applyBorder="1" applyAlignment="1">
      <alignment horizontal="center" vertical="center" wrapText="1"/>
      <protection/>
    </xf>
    <xf numFmtId="0" fontId="15" fillId="0" borderId="0" xfId="44">
      <alignment vertical="center"/>
      <protection/>
    </xf>
    <xf numFmtId="0" fontId="6" fillId="0" borderId="53" xfId="44" applyFont="1" applyFill="1" applyBorder="1" applyAlignment="1">
      <alignment horizontal="center" vertical="center" wrapText="1"/>
      <protection/>
    </xf>
    <xf numFmtId="0" fontId="6" fillId="0" borderId="54" xfId="44" applyFont="1" applyFill="1" applyBorder="1" applyAlignment="1">
      <alignment horizontal="center" vertical="center" wrapText="1"/>
      <protection/>
    </xf>
    <xf numFmtId="0" fontId="6" fillId="0" borderId="14" xfId="44" applyFont="1" applyFill="1" applyBorder="1" applyAlignment="1">
      <alignment horizontal="center" vertical="center" wrapText="1"/>
      <protection/>
    </xf>
    <xf numFmtId="179" fontId="6" fillId="0" borderId="14" xfId="44" applyNumberFormat="1" applyFont="1" applyFill="1" applyBorder="1" applyAlignment="1">
      <alignment horizontal="center" vertical="center" wrapText="1"/>
      <protection/>
    </xf>
    <xf numFmtId="0" fontId="16" fillId="0" borderId="14" xfId="44" applyFont="1" applyFill="1" applyBorder="1" applyAlignment="1">
      <alignment horizontal="center"/>
      <protection/>
    </xf>
    <xf numFmtId="0" fontId="6" fillId="0" borderId="55" xfId="44" applyFont="1" applyFill="1" applyBorder="1" applyAlignment="1">
      <alignment horizontal="center" vertical="center" wrapText="1"/>
      <protection/>
    </xf>
    <xf numFmtId="0" fontId="6" fillId="0" borderId="20" xfId="44" applyFont="1" applyFill="1" applyBorder="1" applyAlignment="1">
      <alignment horizontal="center" vertical="center" wrapText="1"/>
      <protection/>
    </xf>
    <xf numFmtId="0" fontId="17" fillId="0" borderId="56" xfId="44" applyFont="1" applyFill="1" applyBorder="1" applyAlignment="1">
      <alignment horizontal="center" vertical="center" wrapText="1"/>
      <protection/>
    </xf>
    <xf numFmtId="0" fontId="17" fillId="0" borderId="57" xfId="44" applyFont="1" applyFill="1" applyBorder="1" applyAlignment="1">
      <alignment horizontal="center" vertical="center" wrapText="1"/>
      <protection/>
    </xf>
    <xf numFmtId="179" fontId="17" fillId="0" borderId="57" xfId="44" applyNumberFormat="1" applyFont="1" applyFill="1" applyBorder="1" applyAlignment="1">
      <alignment horizontal="center" vertical="center" wrapText="1"/>
      <protection/>
    </xf>
    <xf numFmtId="181" fontId="6" fillId="0" borderId="14" xfId="44" applyNumberFormat="1" applyFont="1" applyFill="1" applyBorder="1" applyAlignment="1">
      <alignment horizontal="center" vertical="center" wrapText="1"/>
      <protection/>
    </xf>
    <xf numFmtId="177" fontId="17" fillId="0" borderId="57" xfId="44" applyNumberFormat="1" applyFont="1" applyFill="1" applyBorder="1" applyAlignment="1">
      <alignment horizontal="center" vertical="center" wrapText="1"/>
      <protection/>
    </xf>
    <xf numFmtId="0" fontId="18" fillId="0" borderId="57" xfId="44" applyFont="1" applyFill="1" applyBorder="1">
      <alignment vertical="center"/>
      <protection/>
    </xf>
    <xf numFmtId="2" fontId="15" fillId="0" borderId="0" xfId="44" applyNumberFormat="1">
      <alignment vertical="center"/>
      <protection/>
    </xf>
    <xf numFmtId="0" fontId="6" fillId="0" borderId="58" xfId="44" applyFont="1" applyFill="1" applyBorder="1" applyAlignment="1">
      <alignment horizontal="center" vertical="center" wrapText="1"/>
      <protection/>
    </xf>
    <xf numFmtId="0" fontId="16" fillId="0" borderId="58" xfId="44" applyFont="1" applyFill="1" applyBorder="1" applyAlignment="1">
      <alignment horizontal="center"/>
      <protection/>
    </xf>
    <xf numFmtId="179" fontId="6" fillId="0" borderId="58" xfId="44" applyNumberFormat="1" applyFont="1" applyFill="1" applyBorder="1" applyAlignment="1">
      <alignment horizontal="center" vertical="center" wrapText="1"/>
      <protection/>
    </xf>
    <xf numFmtId="179" fontId="17" fillId="0" borderId="59" xfId="44" applyNumberFormat="1" applyFont="1" applyFill="1" applyBorder="1" applyAlignment="1">
      <alignment horizontal="center" vertical="center" wrapText="1"/>
      <protection/>
    </xf>
    <xf numFmtId="177" fontId="18" fillId="0" borderId="57" xfId="44" applyNumberFormat="1" applyFont="1" applyFill="1" applyBorder="1">
      <alignment vertical="center"/>
      <protection/>
    </xf>
    <xf numFmtId="177" fontId="17" fillId="0" borderId="59" xfId="44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47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9" fontId="0" fillId="0" borderId="0" xfId="47" applyNumberFormat="1">
      <alignment/>
      <protection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0" xfId="42">
      <alignment/>
      <protection/>
    </xf>
    <xf numFmtId="0" fontId="2" fillId="0" borderId="0" xfId="42" applyFont="1" applyAlignment="1">
      <alignment horizontal="center"/>
      <protection/>
    </xf>
    <xf numFmtId="0" fontId="0" fillId="0" borderId="0" xfId="42" applyFont="1" applyAlignment="1">
      <alignment horizontal="left"/>
      <protection/>
    </xf>
    <xf numFmtId="2" fontId="0" fillId="0" borderId="14" xfId="42" applyNumberForma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7" fontId="0" fillId="0" borderId="14" xfId="0" applyNumberFormat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0" fontId="0" fillId="0" borderId="0" xfId="50">
      <alignment vertical="center"/>
      <protection/>
    </xf>
    <xf numFmtId="0" fontId="0" fillId="0" borderId="0" xfId="50" applyFont="1">
      <alignment vertical="center"/>
      <protection/>
    </xf>
    <xf numFmtId="0" fontId="1" fillId="0" borderId="14" xfId="50" applyNumberFormat="1" applyFont="1" applyBorder="1" applyAlignment="1">
      <alignment horizontal="center" vertical="center"/>
      <protection/>
    </xf>
    <xf numFmtId="179" fontId="1" fillId="0" borderId="14" xfId="50" applyNumberFormat="1" applyFont="1" applyBorder="1" applyAlignment="1">
      <alignment horizontal="center" vertical="center"/>
      <protection/>
    </xf>
    <xf numFmtId="2" fontId="1" fillId="0" borderId="14" xfId="50" applyNumberFormat="1" applyFont="1" applyBorder="1" applyAlignment="1">
      <alignment horizontal="center" vertical="center"/>
      <protection/>
    </xf>
    <xf numFmtId="1" fontId="1" fillId="0" borderId="14" xfId="50" applyNumberFormat="1" applyFont="1" applyBorder="1" applyAlignment="1">
      <alignment horizontal="center" vertical="center"/>
      <protection/>
    </xf>
    <xf numFmtId="0" fontId="19" fillId="0" borderId="6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/>
    </xf>
    <xf numFmtId="0" fontId="78" fillId="0" borderId="14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18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80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183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80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/>
    </xf>
    <xf numFmtId="179" fontId="0" fillId="0" borderId="14" xfId="0" applyNumberFormat="1" applyFont="1" applyFill="1" applyBorder="1" applyAlignment="1">
      <alignment horizontal="center"/>
    </xf>
    <xf numFmtId="0" fontId="71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/>
    </xf>
    <xf numFmtId="183" fontId="0" fillId="0" borderId="14" xfId="0" applyNumberFormat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21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 wrapText="1"/>
    </xf>
    <xf numFmtId="182" fontId="0" fillId="0" borderId="14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0" xfId="0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50" applyNumberFormat="1" applyFont="1" applyAlignment="1">
      <alignment horizontal="center" vertical="center"/>
      <protection/>
    </xf>
    <xf numFmtId="0" fontId="1" fillId="0" borderId="14" xfId="50" applyNumberFormat="1" applyFont="1" applyBorder="1" applyAlignment="1">
      <alignment horizontal="center" vertical="center"/>
      <protection/>
    </xf>
    <xf numFmtId="179" fontId="1" fillId="0" borderId="14" xfId="50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2" fillId="0" borderId="0" xfId="42" applyFont="1" applyAlignment="1">
      <alignment horizontal="center"/>
      <protection/>
    </xf>
    <xf numFmtId="0" fontId="0" fillId="0" borderId="14" xfId="42" applyBorder="1" applyAlignment="1">
      <alignment horizontal="center" vertical="center"/>
      <protection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2" fillId="0" borderId="0" xfId="47" applyFont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47" applyFont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 wrapText="1"/>
      <protection/>
    </xf>
    <xf numFmtId="0" fontId="0" fillId="0" borderId="14" xfId="47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" fillId="0" borderId="14" xfId="47" applyFont="1" applyBorder="1" applyAlignment="1">
      <alignment horizontal="left" vertical="center" wrapText="1"/>
      <protection/>
    </xf>
    <xf numFmtId="0" fontId="0" fillId="0" borderId="14" xfId="47" applyFill="1" applyBorder="1" applyAlignment="1">
      <alignment horizontal="left" vertical="center" wrapText="1"/>
      <protection/>
    </xf>
    <xf numFmtId="0" fontId="6" fillId="0" borderId="14" xfId="43" applyFont="1" applyFill="1" applyBorder="1" applyAlignment="1">
      <alignment horizontal="center" vertical="center" wrapText="1"/>
      <protection/>
    </xf>
    <xf numFmtId="0" fontId="6" fillId="0" borderId="58" xfId="43" applyFont="1" applyFill="1" applyBorder="1" applyAlignment="1">
      <alignment horizontal="center" vertical="center" wrapText="1"/>
      <protection/>
    </xf>
    <xf numFmtId="0" fontId="6" fillId="0" borderId="66" xfId="43" applyFont="1" applyFill="1" applyBorder="1" applyAlignment="1">
      <alignment horizontal="center" vertical="center" wrapText="1"/>
      <protection/>
    </xf>
    <xf numFmtId="0" fontId="6" fillId="0" borderId="54" xfId="43" applyFont="1" applyFill="1" applyBorder="1" applyAlignment="1">
      <alignment horizontal="center" vertical="center" wrapText="1"/>
      <protection/>
    </xf>
    <xf numFmtId="0" fontId="6" fillId="0" borderId="53" xfId="43" applyFont="1" applyFill="1" applyBorder="1" applyAlignment="1">
      <alignment horizontal="center" vertical="center" wrapText="1"/>
      <protection/>
    </xf>
    <xf numFmtId="0" fontId="6" fillId="0" borderId="15" xfId="43" applyFont="1" applyFill="1" applyBorder="1" applyAlignment="1">
      <alignment horizontal="center" vertical="center" wrapText="1"/>
      <protection/>
    </xf>
    <xf numFmtId="0" fontId="6" fillId="0" borderId="18" xfId="43" applyFont="1" applyFill="1" applyBorder="1" applyAlignment="1">
      <alignment horizontal="center" vertical="center" wrapText="1"/>
      <protection/>
    </xf>
    <xf numFmtId="0" fontId="13" fillId="0" borderId="67" xfId="43" applyFont="1" applyFill="1" applyBorder="1" applyAlignment="1">
      <alignment horizontal="center" vertical="center"/>
      <protection/>
    </xf>
    <xf numFmtId="0" fontId="6" fillId="0" borderId="68" xfId="43" applyFont="1" applyFill="1" applyBorder="1" applyAlignment="1">
      <alignment horizontal="center" vertical="center" wrapText="1"/>
      <protection/>
    </xf>
    <xf numFmtId="0" fontId="6" fillId="0" borderId="69" xfId="43" applyFont="1" applyFill="1" applyBorder="1" applyAlignment="1">
      <alignment horizontal="center" vertical="center" wrapText="1"/>
      <protection/>
    </xf>
    <xf numFmtId="0" fontId="6" fillId="0" borderId="70" xfId="43" applyFont="1" applyFill="1" applyBorder="1" applyAlignment="1">
      <alignment horizontal="center" vertical="center" wrapText="1"/>
      <protection/>
    </xf>
    <xf numFmtId="0" fontId="6" fillId="0" borderId="71" xfId="43" applyFont="1" applyFill="1" applyBorder="1" applyAlignment="1">
      <alignment horizontal="center" vertical="center" wrapText="1"/>
      <protection/>
    </xf>
    <xf numFmtId="0" fontId="6" fillId="0" borderId="15" xfId="44" applyFont="1" applyFill="1" applyBorder="1" applyAlignment="1">
      <alignment horizontal="center" vertical="center" wrapText="1"/>
      <protection/>
    </xf>
    <xf numFmtId="0" fontId="6" fillId="0" borderId="18" xfId="44" applyFont="1" applyFill="1" applyBorder="1" applyAlignment="1">
      <alignment horizontal="center" vertical="center" wrapText="1"/>
      <protection/>
    </xf>
    <xf numFmtId="0" fontId="6" fillId="0" borderId="14" xfId="44" applyFont="1" applyFill="1" applyBorder="1" applyAlignment="1">
      <alignment horizontal="center" vertical="center" wrapText="1"/>
      <protection/>
    </xf>
    <xf numFmtId="0" fontId="6" fillId="0" borderId="58" xfId="44" applyFont="1" applyFill="1" applyBorder="1" applyAlignment="1">
      <alignment horizontal="center" vertical="center" wrapText="1"/>
      <protection/>
    </xf>
    <xf numFmtId="0" fontId="6" fillId="0" borderId="66" xfId="44" applyFont="1" applyFill="1" applyBorder="1" applyAlignment="1">
      <alignment horizontal="center" vertical="center" wrapText="1"/>
      <protection/>
    </xf>
    <xf numFmtId="0" fontId="6" fillId="0" borderId="54" xfId="44" applyFont="1" applyFill="1" applyBorder="1" applyAlignment="1">
      <alignment horizontal="center" vertical="center" wrapText="1"/>
      <protection/>
    </xf>
    <xf numFmtId="0" fontId="6" fillId="0" borderId="53" xfId="44" applyFont="1" applyFill="1" applyBorder="1" applyAlignment="1">
      <alignment horizontal="center" vertical="center" wrapText="1"/>
      <protection/>
    </xf>
    <xf numFmtId="0" fontId="13" fillId="0" borderId="67" xfId="44" applyFont="1" applyFill="1" applyBorder="1" applyAlignment="1">
      <alignment horizontal="center" vertical="center"/>
      <protection/>
    </xf>
    <xf numFmtId="0" fontId="6" fillId="0" borderId="68" xfId="44" applyFont="1" applyFill="1" applyBorder="1" applyAlignment="1">
      <alignment horizontal="center" vertical="center" wrapText="1"/>
      <protection/>
    </xf>
    <xf numFmtId="0" fontId="6" fillId="0" borderId="69" xfId="44" applyFont="1" applyFill="1" applyBorder="1" applyAlignment="1">
      <alignment horizontal="center" vertical="center" wrapText="1"/>
      <protection/>
    </xf>
    <xf numFmtId="0" fontId="6" fillId="0" borderId="70" xfId="44" applyFont="1" applyFill="1" applyBorder="1" applyAlignment="1">
      <alignment horizontal="center" vertical="center" wrapText="1"/>
      <protection/>
    </xf>
    <xf numFmtId="0" fontId="6" fillId="0" borderId="71" xfId="44" applyFont="1" applyFill="1" applyBorder="1" applyAlignment="1">
      <alignment horizontal="center" vertical="center" wrapText="1"/>
      <protection/>
    </xf>
    <xf numFmtId="0" fontId="0" fillId="0" borderId="15" xfId="47" applyBorder="1" applyAlignment="1">
      <alignment horizontal="left" vertical="center"/>
      <protection/>
    </xf>
    <xf numFmtId="0" fontId="0" fillId="0" borderId="17" xfId="47" applyBorder="1" applyAlignment="1">
      <alignment horizontal="left" vertical="center"/>
      <protection/>
    </xf>
    <xf numFmtId="0" fontId="0" fillId="0" borderId="18" xfId="47" applyBorder="1" applyAlignment="1">
      <alignment horizontal="left" vertical="center"/>
      <protection/>
    </xf>
    <xf numFmtId="0" fontId="1" fillId="0" borderId="15" xfId="47" applyFont="1" applyBorder="1" applyAlignment="1">
      <alignment horizontal="left" vertical="center" wrapText="1"/>
      <protection/>
    </xf>
    <xf numFmtId="0" fontId="1" fillId="0" borderId="17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2" fillId="0" borderId="61" xfId="0" applyFont="1" applyFill="1" applyBorder="1" applyAlignment="1">
      <alignment horizontal="center" vertical="center"/>
    </xf>
    <xf numFmtId="0" fontId="0" fillId="0" borderId="14" xfId="47" applyFont="1" applyBorder="1" applyAlignment="1">
      <alignment horizontal="left" vertical="center"/>
      <protection/>
    </xf>
    <xf numFmtId="0" fontId="0" fillId="0" borderId="14" xfId="47" applyBorder="1" applyAlignment="1">
      <alignment horizontal="left" vertical="center"/>
      <protection/>
    </xf>
    <xf numFmtId="0" fontId="6" fillId="28" borderId="0" xfId="0" applyFont="1" applyFill="1" applyBorder="1" applyAlignment="1">
      <alignment horizontal="right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28" borderId="52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3" fillId="0" borderId="14" xfId="0" applyFont="1" applyBorder="1" applyAlignment="1">
      <alignment horizontal="center" vertical="center"/>
    </xf>
    <xf numFmtId="0" fontId="84" fillId="0" borderId="0" xfId="0" applyFont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left" vertical="center"/>
    </xf>
    <xf numFmtId="0" fontId="76" fillId="0" borderId="76" xfId="49" applyFont="1" applyBorder="1" applyAlignment="1">
      <alignment horizontal="center" vertical="center"/>
      <protection/>
    </xf>
    <xf numFmtId="0" fontId="77" fillId="0" borderId="76" xfId="49" applyFont="1" applyBorder="1" applyAlignment="1">
      <alignment horizontal="center" vertical="center"/>
      <protection/>
    </xf>
    <xf numFmtId="0" fontId="70" fillId="0" borderId="14" xfId="49" applyFont="1" applyBorder="1" applyAlignment="1">
      <alignment horizontal="center" vertical="center"/>
      <protection/>
    </xf>
    <xf numFmtId="0" fontId="85" fillId="0" borderId="14" xfId="49" applyFont="1" applyBorder="1" applyAlignment="1">
      <alignment horizontal="center" vertical="center"/>
      <protection/>
    </xf>
    <xf numFmtId="0" fontId="70" fillId="0" borderId="15" xfId="49" applyFont="1" applyBorder="1" applyAlignment="1">
      <alignment horizontal="center" vertical="center"/>
      <protection/>
    </xf>
    <xf numFmtId="0" fontId="70" fillId="0" borderId="18" xfId="49" applyFont="1" applyBorder="1" applyAlignment="1">
      <alignment horizontal="center" vertical="center"/>
      <protection/>
    </xf>
    <xf numFmtId="0" fontId="70" fillId="0" borderId="14" xfId="49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6" fillId="0" borderId="76" xfId="0" applyFont="1" applyBorder="1" applyAlignment="1">
      <alignment horizontal="center" vertical="center"/>
    </xf>
    <xf numFmtId="0" fontId="77" fillId="0" borderId="76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70" fillId="0" borderId="15" xfId="49" applyBorder="1" applyAlignment="1">
      <alignment horizontal="center" vertical="center"/>
      <protection/>
    </xf>
    <xf numFmtId="0" fontId="70" fillId="0" borderId="18" xfId="49" applyBorder="1" applyAlignment="1">
      <alignment horizontal="center" vertical="center"/>
      <protection/>
    </xf>
    <xf numFmtId="0" fontId="73" fillId="0" borderId="32" xfId="49" applyFont="1" applyBorder="1" applyAlignment="1">
      <alignment horizontal="center" vertical="center"/>
      <protection/>
    </xf>
    <xf numFmtId="0" fontId="73" fillId="0" borderId="14" xfId="49" applyFont="1" applyBorder="1" applyAlignment="1">
      <alignment horizontal="center" vertical="center"/>
      <protection/>
    </xf>
    <xf numFmtId="0" fontId="70" fillId="0" borderId="42" xfId="49" applyBorder="1" applyAlignment="1">
      <alignment horizontal="center" vertical="center"/>
      <protection/>
    </xf>
    <xf numFmtId="0" fontId="70" fillId="0" borderId="30" xfId="49" applyBorder="1" applyAlignment="1">
      <alignment horizontal="center" vertical="center"/>
      <protection/>
    </xf>
    <xf numFmtId="0" fontId="86" fillId="0" borderId="14" xfId="49" applyFont="1" applyBorder="1" applyAlignment="1">
      <alignment horizontal="center" vertical="center"/>
      <protection/>
    </xf>
    <xf numFmtId="0" fontId="73" fillId="0" borderId="15" xfId="49" applyFont="1" applyBorder="1" applyAlignment="1">
      <alignment horizontal="center" vertical="center"/>
      <protection/>
    </xf>
    <xf numFmtId="0" fontId="73" fillId="0" borderId="18" xfId="49" applyFont="1" applyBorder="1" applyAlignment="1">
      <alignment horizontal="center" vertical="center"/>
      <protection/>
    </xf>
    <xf numFmtId="0" fontId="70" fillId="0" borderId="17" xfId="49" applyBorder="1" applyAlignment="1">
      <alignment horizontal="center" vertical="center"/>
      <protection/>
    </xf>
    <xf numFmtId="0" fontId="70" fillId="0" borderId="77" xfId="49" applyBorder="1" applyAlignment="1">
      <alignment horizontal="center" vertical="center"/>
      <protection/>
    </xf>
    <xf numFmtId="0" fontId="70" fillId="0" borderId="38" xfId="49" applyBorder="1" applyAlignment="1">
      <alignment horizontal="center" vertical="center"/>
      <protection/>
    </xf>
    <xf numFmtId="0" fontId="87" fillId="0" borderId="78" xfId="49" applyFont="1" applyBorder="1" applyAlignment="1">
      <alignment horizontal="center" vertical="center" wrapText="1"/>
      <protection/>
    </xf>
    <xf numFmtId="0" fontId="70" fillId="0" borderId="79" xfId="49" applyBorder="1" applyAlignment="1">
      <alignment horizontal="center" vertical="center"/>
      <protection/>
    </xf>
    <xf numFmtId="0" fontId="73" fillId="0" borderId="17" xfId="49" applyFont="1" applyBorder="1" applyAlignment="1">
      <alignment horizontal="center" vertical="center"/>
      <protection/>
    </xf>
    <xf numFmtId="0" fontId="88" fillId="0" borderId="80" xfId="49" applyFont="1" applyBorder="1" applyAlignment="1">
      <alignment horizontal="center" vertical="center"/>
      <protection/>
    </xf>
    <xf numFmtId="0" fontId="88" fillId="0" borderId="81" xfId="49" applyFont="1" applyBorder="1" applyAlignment="1">
      <alignment horizontal="center" vertical="center"/>
      <protection/>
    </xf>
    <xf numFmtId="0" fontId="86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87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鹤立河防洪工程修改后工程量" xfId="40"/>
    <cellStyle name="差_种草单价" xfId="41"/>
    <cellStyle name="常规 2" xfId="42"/>
    <cellStyle name="常规 3" xfId="43"/>
    <cellStyle name="常规 4" xfId="44"/>
    <cellStyle name="常规 5" xfId="45"/>
    <cellStyle name="常规 5 2" xfId="46"/>
    <cellStyle name="常规 6" xfId="47"/>
    <cellStyle name="常规 7" xfId="48"/>
    <cellStyle name="常规 8" xfId="49"/>
    <cellStyle name="常规_金结" xfId="50"/>
    <cellStyle name="Hyperlink" xfId="51"/>
    <cellStyle name="好" xfId="52"/>
    <cellStyle name="好_鹤立河防洪工程修改后工程量" xfId="53"/>
    <cellStyle name="好_种草单价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externalLink" Target="externalLinks/externalLink2.xml" /><Relationship Id="rId72" Type="http://schemas.openxmlformats.org/officeDocument/2006/relationships/externalLink" Target="externalLinks/externalLink3.xml" /><Relationship Id="rId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F&#30424;&#65288;2&#65289;\2017\&#20013;&#23567;&#27827;&#27969;\&#30707;&#22836;&#27827;&#27835;&#29702;&#24037;&#31243;\&#30707;&#22836;&#27827;&#24178;&#27969;&#37319;&#29992;&#31295;\&#30707;&#22836;&#27827;&#24178;&#27969;&#22478;&#21306;&#20013;&#27573;&#27835;&#29702;&#24037;&#31243;&#27700;&#22303;&#20445;&#25345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0&#25991;&#26723;\2021\&#9734;&#24037;&#31243;&#31649;&#25252;&#31185;\2021&#27700;&#24211;&#20859;&#25252;&#36164;&#37329;&#27979;&#31639;&#22823;&#32434;\&#30707;&#22836;&#27827;&#24037;&#31243;&#37327;&#65288;11.25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00&#25991;&#26723;\2021\&#9734;&#24037;&#31243;&#31649;&#25252;&#31185;\2021&#27700;&#24211;&#20859;&#25252;&#36164;&#37329;&#27979;&#31639;&#22823;&#32434;\&#30707;&#22836;&#27827;&#24037;&#31243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程总概算"/>
      <sheetName val="总概算"/>
      <sheetName val="建筑工程"/>
      <sheetName val="金结"/>
      <sheetName val="临时"/>
      <sheetName val="独立"/>
      <sheetName val="价格汇总"/>
      <sheetName val="台时汇总"/>
      <sheetName val="工程量汇总"/>
      <sheetName val="材料"/>
      <sheetName val="工时"/>
      <sheetName val="Sheet1"/>
      <sheetName val="施工生产生活区防治区措施"/>
      <sheetName val="临时道路防治区措施"/>
      <sheetName val="施工临建区防治"/>
      <sheetName val="临时堆渣场"/>
      <sheetName val="弃渣场"/>
      <sheetName val="Sheet6"/>
      <sheetName val="水土流失预测面积"/>
      <sheetName val="概算"/>
      <sheetName val="分部工程概算表"/>
      <sheetName val="独立费用"/>
      <sheetName val="建筑单价汇总"/>
      <sheetName val="运费"/>
      <sheetName val="价格"/>
      <sheetName val="表土剥离"/>
      <sheetName val="排水沟"/>
      <sheetName val="表土回覆"/>
      <sheetName val="机械平整场地"/>
      <sheetName val="种草"/>
      <sheetName val="栽植乔木"/>
      <sheetName val="栽植灌木"/>
      <sheetName val="无纺布"/>
      <sheetName val="围堰"/>
      <sheetName val="围堰拆除"/>
      <sheetName val="人工"/>
      <sheetName val="风水电1"/>
      <sheetName val="砂浆"/>
      <sheetName val="混凝土"/>
      <sheetName val="建筑物土方回填"/>
      <sheetName val="筑坝（6km）"/>
      <sheetName val="土方回填 "/>
      <sheetName val="土方开挖"/>
      <sheetName val="坝体削坡"/>
      <sheetName val="土方开挖（外运3）"/>
      <sheetName val="浆砌石拆除"/>
      <sheetName val="水撼砂"/>
      <sheetName val="碎石垫层"/>
      <sheetName val="沥青木板"/>
      <sheetName val="浆砌石挡土墙"/>
      <sheetName val="压顶砼"/>
      <sheetName val="素砼"/>
      <sheetName val="底板砼"/>
      <sheetName val="闸墩"/>
      <sheetName val="排架砼"/>
      <sheetName val="挡土墙砼"/>
      <sheetName val="洞身砼"/>
      <sheetName val="钢筋制安"/>
      <sheetName val="橡胶止水"/>
      <sheetName val="模板"/>
      <sheetName val="雷诺垫层"/>
      <sheetName val="格宾石笼"/>
      <sheetName val="工程量明细表 (加长后再加厚11)"/>
      <sheetName val="工程量明细表 (加长后再加厚)"/>
      <sheetName val="工程量明细表 (加长后)"/>
      <sheetName val="台时-1"/>
      <sheetName val="台时-2"/>
      <sheetName val="台时-3"/>
      <sheetName val="台时-4"/>
      <sheetName val="水土流失量汇总"/>
      <sheetName val="自然恢复期水土流失量计算表"/>
      <sheetName val="施工期水土流失量计算表"/>
      <sheetName val="监理费计算标准"/>
      <sheetName val="初级工"/>
      <sheetName val="中级工"/>
      <sheetName val="高级工"/>
      <sheetName val="工长"/>
      <sheetName val="干砌石护坡"/>
      <sheetName val="干砌石固脚"/>
      <sheetName val="机电"/>
    </sheetNames>
    <sheetDataSet>
      <sheetData sheetId="24">
        <row r="16">
          <cell r="F16">
            <v>66.786</v>
          </cell>
        </row>
      </sheetData>
      <sheetData sheetId="61">
        <row r="12">
          <cell r="E12">
            <v>8.31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总量"/>
      <sheetName val="工程总概算"/>
    </sheetNames>
    <sheetDataSet>
      <sheetData sheetId="0">
        <row r="39">
          <cell r="B39">
            <v>2658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总量"/>
      <sheetName val="工程总概算"/>
    </sheetNames>
    <sheetDataSet>
      <sheetData sheetId="0">
        <row r="39">
          <cell r="B39">
            <v>2658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workbookViewId="0" topLeftCell="A1">
      <selection activeCell="F4" sqref="F4"/>
    </sheetView>
  </sheetViews>
  <sheetFormatPr defaultColWidth="11.875" defaultRowHeight="19.5" customHeight="1"/>
  <cols>
    <col min="1" max="1" width="6.25390625" style="0" customWidth="1"/>
    <col min="2" max="2" width="26.25390625" style="0" customWidth="1"/>
    <col min="3" max="3" width="10.875" style="0" customWidth="1"/>
    <col min="4" max="4" width="10.00390625" style="0" customWidth="1"/>
    <col min="5" max="5" width="9.125" style="0" customWidth="1"/>
    <col min="6" max="6" width="13.75390625" style="0" customWidth="1"/>
    <col min="7" max="7" width="11.875" style="0" customWidth="1"/>
    <col min="8" max="10" width="11.875" style="0" hidden="1" customWidth="1"/>
  </cols>
  <sheetData>
    <row r="1" spans="1:6" ht="22.5" customHeight="1">
      <c r="A1" s="428" t="s">
        <v>0</v>
      </c>
      <c r="B1" s="429"/>
      <c r="C1" s="429"/>
      <c r="D1" s="429"/>
      <c r="E1" s="429"/>
      <c r="F1" s="429"/>
    </row>
    <row r="2" spans="1:6" ht="17.25" customHeight="1">
      <c r="A2" s="430"/>
      <c r="B2" s="430"/>
      <c r="C2" s="430"/>
      <c r="D2" s="430"/>
      <c r="F2" s="338" t="s">
        <v>1</v>
      </c>
    </row>
    <row r="3" spans="1:6" ht="30" customHeight="1">
      <c r="A3" s="322" t="s">
        <v>2</v>
      </c>
      <c r="B3" s="322" t="s">
        <v>3</v>
      </c>
      <c r="C3" s="322" t="s">
        <v>4</v>
      </c>
      <c r="D3" s="322" t="s">
        <v>5</v>
      </c>
      <c r="E3" s="322" t="s">
        <v>6</v>
      </c>
      <c r="F3" s="322" t="s">
        <v>7</v>
      </c>
    </row>
    <row r="4" spans="1:8" ht="18" customHeight="1">
      <c r="A4" s="322" t="s">
        <v>8</v>
      </c>
      <c r="B4" s="322" t="s">
        <v>9</v>
      </c>
      <c r="C4" s="327"/>
      <c r="D4" s="327"/>
      <c r="E4" s="327"/>
      <c r="F4" s="417" t="e">
        <f>SUM(F21)</f>
        <v>#REF!</v>
      </c>
      <c r="H4" t="e">
        <f>F4*0.9</f>
        <v>#REF!</v>
      </c>
    </row>
    <row r="5" spans="1:6" ht="18" customHeight="1">
      <c r="A5" s="184"/>
      <c r="B5" s="185" t="s">
        <v>10</v>
      </c>
      <c r="C5" s="327" t="e">
        <f>SUM(C6:C7)</f>
        <v>#REF!</v>
      </c>
      <c r="D5" s="337"/>
      <c r="E5" s="337"/>
      <c r="F5" s="417" t="e">
        <f>SUM(C5+D5+E5)</f>
        <v>#REF!</v>
      </c>
    </row>
    <row r="6" spans="1:6" ht="18" customHeight="1">
      <c r="A6" s="184" t="s">
        <v>11</v>
      </c>
      <c r="B6" s="185" t="s">
        <v>12</v>
      </c>
      <c r="C6" s="327" t="e">
        <f>SUM(#REF!)</f>
        <v>#REF!</v>
      </c>
      <c r="D6" s="337"/>
      <c r="E6" s="337"/>
      <c r="F6" s="417" t="e">
        <f aca="true" t="shared" si="0" ref="F6:F18">SUM(C6+D6+E6)</f>
        <v>#REF!</v>
      </c>
    </row>
    <row r="7" spans="1:6" ht="18" customHeight="1">
      <c r="A7" s="184" t="s">
        <v>13</v>
      </c>
      <c r="B7" s="185" t="s">
        <v>14</v>
      </c>
      <c r="C7" s="327" t="e">
        <f>SUM(#REF!)</f>
        <v>#REF!</v>
      </c>
      <c r="D7" s="337"/>
      <c r="E7" s="337"/>
      <c r="F7" s="417" t="e">
        <f t="shared" si="0"/>
        <v>#REF!</v>
      </c>
    </row>
    <row r="8" spans="1:6" ht="18" customHeight="1">
      <c r="A8" s="415"/>
      <c r="B8" s="185" t="s">
        <v>15</v>
      </c>
      <c r="C8" s="418"/>
      <c r="D8" s="418" t="e">
        <f>#REF!</f>
        <v>#REF!</v>
      </c>
      <c r="E8" s="337"/>
      <c r="F8" s="417" t="e">
        <f t="shared" si="0"/>
        <v>#REF!</v>
      </c>
    </row>
    <row r="9" spans="1:6" ht="18" customHeight="1">
      <c r="A9" s="332"/>
      <c r="B9" s="185" t="s">
        <v>16</v>
      </c>
      <c r="C9" s="418" t="e">
        <f>SUM(#REF!)</f>
        <v>#REF!</v>
      </c>
      <c r="D9" s="418" t="e">
        <f>SUM(#REF!)</f>
        <v>#REF!</v>
      </c>
      <c r="E9" s="337"/>
      <c r="F9" s="417" t="e">
        <f t="shared" si="0"/>
        <v>#REF!</v>
      </c>
    </row>
    <row r="10" spans="1:6" ht="18" customHeight="1">
      <c r="A10" s="415"/>
      <c r="B10" s="185" t="s">
        <v>17</v>
      </c>
      <c r="C10" s="418" t="e">
        <f>SUM(C11:C14)</f>
        <v>#REF!</v>
      </c>
      <c r="D10" s="337"/>
      <c r="E10" s="337"/>
      <c r="F10" s="417" t="e">
        <f t="shared" si="0"/>
        <v>#REF!</v>
      </c>
    </row>
    <row r="11" spans="1:6" ht="18" customHeight="1">
      <c r="A11" s="184" t="s">
        <v>11</v>
      </c>
      <c r="B11" s="185" t="s">
        <v>18</v>
      </c>
      <c r="C11" s="418" t="e">
        <f>SUM(#REF!)</f>
        <v>#REF!</v>
      </c>
      <c r="D11" s="337"/>
      <c r="E11" s="337"/>
      <c r="F11" s="417" t="e">
        <f t="shared" si="0"/>
        <v>#REF!</v>
      </c>
    </row>
    <row r="12" spans="1:6" ht="18" customHeight="1">
      <c r="A12" s="332" t="s">
        <v>11</v>
      </c>
      <c r="B12" s="185" t="s">
        <v>19</v>
      </c>
      <c r="C12" s="418" t="e">
        <f>SUM(#REF!)</f>
        <v>#REF!</v>
      </c>
      <c r="D12" s="337"/>
      <c r="E12" s="337"/>
      <c r="F12" s="417" t="e">
        <f t="shared" si="0"/>
        <v>#REF!</v>
      </c>
    </row>
    <row r="13" spans="1:6" ht="18" customHeight="1">
      <c r="A13" s="332" t="s">
        <v>13</v>
      </c>
      <c r="B13" s="185" t="s">
        <v>20</v>
      </c>
      <c r="C13" s="418" t="e">
        <f>SUM(#REF!)</f>
        <v>#REF!</v>
      </c>
      <c r="D13" s="337"/>
      <c r="E13" s="337"/>
      <c r="F13" s="417" t="e">
        <f t="shared" si="0"/>
        <v>#REF!</v>
      </c>
    </row>
    <row r="14" spans="1:11" ht="18" customHeight="1">
      <c r="A14" s="332" t="s">
        <v>21</v>
      </c>
      <c r="B14" s="185" t="s">
        <v>22</v>
      </c>
      <c r="C14" s="418" t="e">
        <f>SUM(#REF!)</f>
        <v>#REF!</v>
      </c>
      <c r="D14" s="337"/>
      <c r="E14" s="337"/>
      <c r="F14" s="417" t="e">
        <f t="shared" si="0"/>
        <v>#REF!</v>
      </c>
      <c r="K14" s="319"/>
    </row>
    <row r="15" spans="1:6" ht="18" customHeight="1">
      <c r="A15" s="184"/>
      <c r="B15" s="185" t="s">
        <v>23</v>
      </c>
      <c r="C15" s="418">
        <f>SUM(C16:C18)</f>
        <v>0</v>
      </c>
      <c r="D15" s="418">
        <f>SUM(D16:D18)</f>
        <v>0</v>
      </c>
      <c r="E15" s="418" t="e">
        <f>SUM(E16:E18)</f>
        <v>#REF!</v>
      </c>
      <c r="F15" s="417" t="e">
        <f t="shared" si="0"/>
        <v>#REF!</v>
      </c>
    </row>
    <row r="16" spans="1:6" ht="18" customHeight="1">
      <c r="A16" s="184" t="s">
        <v>11</v>
      </c>
      <c r="B16" s="185" t="s">
        <v>24</v>
      </c>
      <c r="C16" s="418"/>
      <c r="D16" s="337"/>
      <c r="E16" s="327" t="e">
        <f>SUM(#REF!)</f>
        <v>#REF!</v>
      </c>
      <c r="F16" s="417" t="e">
        <f t="shared" si="0"/>
        <v>#REF!</v>
      </c>
    </row>
    <row r="17" spans="1:6" ht="18" customHeight="1">
      <c r="A17" s="184" t="s">
        <v>13</v>
      </c>
      <c r="B17" s="185" t="s">
        <v>25</v>
      </c>
      <c r="C17" s="418"/>
      <c r="D17" s="337"/>
      <c r="E17" s="327" t="e">
        <f>SUM(#REF!)</f>
        <v>#REF!</v>
      </c>
      <c r="F17" s="417" t="e">
        <f t="shared" si="0"/>
        <v>#REF!</v>
      </c>
    </row>
    <row r="18" spans="1:6" ht="18" customHeight="1">
      <c r="A18" s="184" t="s">
        <v>21</v>
      </c>
      <c r="B18" s="185" t="s">
        <v>26</v>
      </c>
      <c r="C18" s="418"/>
      <c r="D18" s="337"/>
      <c r="E18" s="327" t="e">
        <f>SUM(#REF!)</f>
        <v>#REF!</v>
      </c>
      <c r="F18" s="417" t="e">
        <f t="shared" si="0"/>
        <v>#REF!</v>
      </c>
    </row>
    <row r="19" spans="1:6" ht="18" customHeight="1">
      <c r="A19" s="184"/>
      <c r="B19" s="185" t="s">
        <v>27</v>
      </c>
      <c r="C19" s="418" t="e">
        <f>SUM(C5+C8+C9+C10+C15)</f>
        <v>#REF!</v>
      </c>
      <c r="D19" s="418" t="e">
        <f>SUM(D5+D8+D9+D10+D15)</f>
        <v>#REF!</v>
      </c>
      <c r="E19" s="418" t="e">
        <f>SUM(E5+E8+E9+E10+E15)</f>
        <v>#REF!</v>
      </c>
      <c r="F19" s="417" t="e">
        <f>SUM(F5+F8+F9+F10+F15)</f>
        <v>#REF!</v>
      </c>
    </row>
    <row r="20" spans="1:6" ht="18" customHeight="1">
      <c r="A20" s="184"/>
      <c r="B20" s="185" t="s">
        <v>28</v>
      </c>
      <c r="C20" s="418"/>
      <c r="D20" s="337"/>
      <c r="E20" s="337"/>
      <c r="F20" s="417" t="e">
        <f>SUM(#REF!)</f>
        <v>#REF!</v>
      </c>
    </row>
    <row r="21" spans="1:6" ht="18" customHeight="1">
      <c r="A21" s="184"/>
      <c r="B21" s="185" t="s">
        <v>29</v>
      </c>
      <c r="C21" s="418"/>
      <c r="D21" s="337"/>
      <c r="E21" s="337"/>
      <c r="F21" s="417" t="e">
        <f>SUM(F19:F20)</f>
        <v>#REF!</v>
      </c>
    </row>
    <row r="22" spans="1:7" ht="18" customHeight="1">
      <c r="A22" s="337" t="s">
        <v>30</v>
      </c>
      <c r="B22" s="185" t="s">
        <v>31</v>
      </c>
      <c r="C22" s="418"/>
      <c r="D22" s="337"/>
      <c r="E22" s="337"/>
      <c r="F22" s="345">
        <v>108.88</v>
      </c>
      <c r="G22" s="416"/>
    </row>
    <row r="23" spans="1:6" ht="18" customHeight="1">
      <c r="A23" s="337" t="s">
        <v>32</v>
      </c>
      <c r="B23" s="185" t="s">
        <v>33</v>
      </c>
      <c r="C23" s="418"/>
      <c r="D23" s="337"/>
      <c r="E23" s="337"/>
      <c r="F23" s="345">
        <v>29.28</v>
      </c>
    </row>
    <row r="24" spans="1:7" ht="18" customHeight="1">
      <c r="A24" s="337" t="s">
        <v>34</v>
      </c>
      <c r="B24" s="185" t="s">
        <v>35</v>
      </c>
      <c r="C24" s="418"/>
      <c r="D24" s="337"/>
      <c r="E24" s="337"/>
      <c r="F24" s="345">
        <v>24.28</v>
      </c>
      <c r="G24" s="61"/>
    </row>
    <row r="25" spans="1:7" ht="18" customHeight="1">
      <c r="A25" s="337" t="s">
        <v>36</v>
      </c>
      <c r="B25" s="185" t="s">
        <v>37</v>
      </c>
      <c r="C25" s="418"/>
      <c r="D25" s="418"/>
      <c r="E25" s="418"/>
      <c r="F25" s="417" t="e">
        <f>SUM(F21:F24)</f>
        <v>#REF!</v>
      </c>
      <c r="G25" s="416"/>
    </row>
    <row r="26" spans="1:6" ht="18" customHeight="1">
      <c r="A26" s="322"/>
      <c r="B26" s="419"/>
      <c r="C26" s="322"/>
      <c r="D26" s="322"/>
      <c r="E26" s="420"/>
      <c r="F26" s="421"/>
    </row>
    <row r="27" ht="19.5" customHeight="1" hidden="1">
      <c r="F27" s="416">
        <v>2798.57</v>
      </c>
    </row>
    <row r="28" ht="19.5" customHeight="1" hidden="1">
      <c r="F28" s="416" t="e">
        <f>F27-F25</f>
        <v>#REF!</v>
      </c>
    </row>
    <row r="29" ht="19.5" customHeight="1">
      <c r="F29" s="416"/>
    </row>
    <row r="30" ht="19.5" customHeight="1">
      <c r="F30" s="416"/>
    </row>
  </sheetData>
  <sheetProtection/>
  <mergeCells count="2">
    <mergeCell ref="A1:F1"/>
    <mergeCell ref="A2:D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  <headerFooter alignWithMargins="0">
    <oddFooter>&amp;C-&amp;P--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E8"/>
  <sheetViews>
    <sheetView workbookViewId="0" topLeftCell="A1">
      <selection activeCell="E7" sqref="E7"/>
    </sheetView>
  </sheetViews>
  <sheetFormatPr defaultColWidth="8.75390625" defaultRowHeight="14.25"/>
  <cols>
    <col min="1" max="1" width="8.875" style="315" customWidth="1"/>
    <col min="2" max="2" width="21.25390625" style="315" customWidth="1"/>
    <col min="3" max="3" width="13.75390625" style="315" customWidth="1"/>
    <col min="4" max="4" width="15.375" style="315" customWidth="1"/>
    <col min="5" max="5" width="17.50390625" style="315" customWidth="1"/>
    <col min="6" max="16384" width="8.75390625" style="315" customWidth="1"/>
  </cols>
  <sheetData>
    <row r="1" spans="1:5" ht="33.75" customHeight="1">
      <c r="A1" s="449" t="s">
        <v>256</v>
      </c>
      <c r="B1" s="449"/>
      <c r="C1" s="449"/>
      <c r="D1" s="449"/>
      <c r="E1" s="449"/>
    </row>
    <row r="2" spans="1:5" ht="30.75" customHeight="1">
      <c r="A2" s="317" t="s">
        <v>257</v>
      </c>
      <c r="B2" s="316"/>
      <c r="C2" s="316"/>
      <c r="D2" s="316"/>
      <c r="E2" s="316"/>
    </row>
    <row r="3" spans="1:5" ht="22.5" customHeight="1">
      <c r="A3" s="220" t="s">
        <v>2</v>
      </c>
      <c r="B3" s="220" t="s">
        <v>258</v>
      </c>
      <c r="C3" s="220" t="s">
        <v>161</v>
      </c>
      <c r="D3" s="220" t="s">
        <v>43</v>
      </c>
      <c r="E3" s="220" t="s">
        <v>259</v>
      </c>
    </row>
    <row r="4" spans="1:5" ht="22.5" customHeight="1">
      <c r="A4" s="220"/>
      <c r="B4" s="220" t="s">
        <v>260</v>
      </c>
      <c r="C4" s="220"/>
      <c r="D4" s="220"/>
      <c r="E4" s="220"/>
    </row>
    <row r="5" spans="1:5" ht="22.5" customHeight="1">
      <c r="A5" s="220">
        <v>1</v>
      </c>
      <c r="B5" s="450" t="s">
        <v>261</v>
      </c>
      <c r="C5" s="220" t="s">
        <v>262</v>
      </c>
      <c r="D5" s="220" t="s">
        <v>263</v>
      </c>
      <c r="E5" s="220">
        <v>11.98</v>
      </c>
    </row>
    <row r="6" spans="1:5" ht="22.5" customHeight="1">
      <c r="A6" s="220">
        <v>2</v>
      </c>
      <c r="B6" s="450"/>
      <c r="C6" s="220" t="s">
        <v>264</v>
      </c>
      <c r="D6" s="220" t="s">
        <v>263</v>
      </c>
      <c r="E6" s="318">
        <v>11.09</v>
      </c>
    </row>
    <row r="7" spans="1:5" ht="22.5" customHeight="1">
      <c r="A7" s="220">
        <v>3</v>
      </c>
      <c r="B7" s="450"/>
      <c r="C7" s="220" t="s">
        <v>265</v>
      </c>
      <c r="D7" s="220" t="s">
        <v>263</v>
      </c>
      <c r="E7" s="220">
        <v>9.33</v>
      </c>
    </row>
    <row r="8" spans="1:5" ht="22.5" customHeight="1">
      <c r="A8" s="220">
        <v>4</v>
      </c>
      <c r="B8" s="450"/>
      <c r="C8" s="220" t="s">
        <v>266</v>
      </c>
      <c r="D8" s="220" t="s">
        <v>263</v>
      </c>
      <c r="E8" s="220">
        <v>6.55</v>
      </c>
    </row>
  </sheetData>
  <sheetProtection/>
  <mergeCells count="2">
    <mergeCell ref="A1:E1"/>
    <mergeCell ref="B5:B8"/>
  </mergeCells>
  <printOptions/>
  <pageMargins left="0.9448818897637796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&amp;C－&amp;P－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2:F19"/>
  <sheetViews>
    <sheetView workbookViewId="0" topLeftCell="A1">
      <selection activeCell="D11" sqref="D11"/>
    </sheetView>
  </sheetViews>
  <sheetFormatPr defaultColWidth="8.625" defaultRowHeight="14.25"/>
  <cols>
    <col min="1" max="1" width="6.25390625" style="0" customWidth="1"/>
    <col min="2" max="2" width="21.375" style="0" customWidth="1"/>
    <col min="3" max="3" width="11.50390625" style="0" customWidth="1"/>
    <col min="4" max="4" width="11.125" style="0" customWidth="1"/>
    <col min="5" max="5" width="10.00390625" style="0" customWidth="1"/>
    <col min="6" max="6" width="16.00390625" style="0" customWidth="1"/>
  </cols>
  <sheetData>
    <row r="2" spans="1:6" ht="20.25">
      <c r="A2" s="428" t="s">
        <v>269</v>
      </c>
      <c r="B2" s="428"/>
      <c r="C2" s="428"/>
      <c r="D2" s="428"/>
      <c r="E2" s="428"/>
      <c r="F2" s="428"/>
    </row>
    <row r="3" spans="1:6" ht="20.25">
      <c r="A3" s="1"/>
      <c r="B3" s="1"/>
      <c r="C3" s="1"/>
      <c r="D3" s="1"/>
      <c r="E3" s="1"/>
      <c r="F3" s="1"/>
    </row>
    <row r="4" spans="1:6" ht="21" customHeight="1">
      <c r="A4" s="29" t="s">
        <v>161</v>
      </c>
      <c r="B4" s="454" t="s">
        <v>270</v>
      </c>
      <c r="C4" s="455"/>
      <c r="D4" s="456"/>
      <c r="E4" s="29" t="s">
        <v>38</v>
      </c>
      <c r="F4" s="180" t="s">
        <v>271</v>
      </c>
    </row>
    <row r="5" spans="1:6" ht="21" customHeight="1">
      <c r="A5" s="29" t="s">
        <v>251</v>
      </c>
      <c r="B5" s="457"/>
      <c r="C5" s="457"/>
      <c r="D5" s="457"/>
      <c r="E5" s="29" t="s">
        <v>43</v>
      </c>
      <c r="F5" s="29" t="s">
        <v>272</v>
      </c>
    </row>
    <row r="6" spans="1:6" ht="21" customHeight="1">
      <c r="A6" s="458" t="s">
        <v>273</v>
      </c>
      <c r="B6" s="458"/>
      <c r="C6" s="458"/>
      <c r="D6" s="458"/>
      <c r="E6" s="458"/>
      <c r="F6" s="458"/>
    </row>
    <row r="7" spans="1:6" ht="21" customHeight="1">
      <c r="A7" s="12" t="s">
        <v>2</v>
      </c>
      <c r="B7" s="12" t="s">
        <v>184</v>
      </c>
      <c r="C7" s="12" t="s">
        <v>274</v>
      </c>
      <c r="D7" s="12" t="s">
        <v>44</v>
      </c>
      <c r="E7" s="12" t="s">
        <v>275</v>
      </c>
      <c r="F7" s="12" t="s">
        <v>276</v>
      </c>
    </row>
    <row r="8" spans="1:6" ht="21" customHeight="1">
      <c r="A8" s="12"/>
      <c r="B8" s="301" t="s">
        <v>270</v>
      </c>
      <c r="C8" s="301"/>
      <c r="D8" s="301"/>
      <c r="E8" s="301"/>
      <c r="F8" s="302" t="e">
        <f>SUM(F9:F11)</f>
        <v>#REF!</v>
      </c>
    </row>
    <row r="9" spans="1:6" ht="21" customHeight="1">
      <c r="A9" s="12">
        <v>1</v>
      </c>
      <c r="B9" s="12" t="s">
        <v>277</v>
      </c>
      <c r="C9" s="11" t="s">
        <v>192</v>
      </c>
      <c r="D9" s="303">
        <v>0.305</v>
      </c>
      <c r="E9" s="224">
        <v>255</v>
      </c>
      <c r="F9" s="224">
        <f>D9*E9</f>
        <v>77.77499999999999</v>
      </c>
    </row>
    <row r="10" spans="1:6" ht="21" customHeight="1">
      <c r="A10" s="12">
        <v>2</v>
      </c>
      <c r="B10" s="12" t="s">
        <v>278</v>
      </c>
      <c r="C10" s="12" t="s">
        <v>272</v>
      </c>
      <c r="D10" s="12">
        <v>0.183</v>
      </c>
      <c r="E10" s="224" t="e">
        <f>SUM(#REF!)</f>
        <v>#REF!</v>
      </c>
      <c r="F10" s="224" t="e">
        <f>D10*E10</f>
        <v>#REF!</v>
      </c>
    </row>
    <row r="11" spans="1:6" ht="21" customHeight="1">
      <c r="A11" s="12">
        <v>3</v>
      </c>
      <c r="B11" s="12" t="s">
        <v>267</v>
      </c>
      <c r="C11" s="12" t="s">
        <v>272</v>
      </c>
      <c r="D11" s="12">
        <v>1.1</v>
      </c>
      <c r="E11" s="224">
        <v>70</v>
      </c>
      <c r="F11" s="224">
        <f>D11*E11</f>
        <v>77</v>
      </c>
    </row>
    <row r="13" spans="1:6" ht="20.25" customHeight="1" hidden="1">
      <c r="A13" s="459" t="s">
        <v>279</v>
      </c>
      <c r="B13" s="459"/>
      <c r="C13" s="459" t="s">
        <v>280</v>
      </c>
      <c r="D13" s="459"/>
      <c r="E13" s="459"/>
      <c r="F13" s="304" t="s">
        <v>281</v>
      </c>
    </row>
    <row r="14" spans="1:6" ht="19.5" customHeight="1" hidden="1">
      <c r="A14" s="451" t="s">
        <v>273</v>
      </c>
      <c r="B14" s="452"/>
      <c r="C14" s="452"/>
      <c r="D14" s="452"/>
      <c r="E14" s="452"/>
      <c r="F14" s="453"/>
    </row>
    <row r="15" spans="1:6" ht="19.5" customHeight="1" hidden="1">
      <c r="A15" s="305" t="s">
        <v>2</v>
      </c>
      <c r="B15" s="12" t="s">
        <v>184</v>
      </c>
      <c r="C15" s="12" t="s">
        <v>274</v>
      </c>
      <c r="D15" s="12" t="s">
        <v>44</v>
      </c>
      <c r="E15" s="12" t="s">
        <v>275</v>
      </c>
      <c r="F15" s="306" t="s">
        <v>276</v>
      </c>
    </row>
    <row r="16" spans="1:6" ht="19.5" customHeight="1" hidden="1">
      <c r="A16" s="305"/>
      <c r="B16" s="301" t="s">
        <v>282</v>
      </c>
      <c r="C16" s="301"/>
      <c r="D16" s="301"/>
      <c r="E16" s="301"/>
      <c r="F16" s="307" t="e">
        <f>SUM(F17:F19)</f>
        <v>#REF!</v>
      </c>
    </row>
    <row r="17" spans="1:6" ht="19.5" customHeight="1" hidden="1">
      <c r="A17" s="305">
        <v>1</v>
      </c>
      <c r="B17" s="12" t="s">
        <v>277</v>
      </c>
      <c r="C17" s="11" t="s">
        <v>192</v>
      </c>
      <c r="D17" s="303">
        <v>0.405</v>
      </c>
      <c r="E17" s="224">
        <f>SUM(E9)</f>
        <v>255</v>
      </c>
      <c r="F17" s="10">
        <f>D17*E17</f>
        <v>103.275</v>
      </c>
    </row>
    <row r="18" spans="1:6" ht="19.5" customHeight="1" hidden="1">
      <c r="A18" s="305">
        <v>2</v>
      </c>
      <c r="B18" s="12" t="s">
        <v>278</v>
      </c>
      <c r="C18" s="12" t="s">
        <v>272</v>
      </c>
      <c r="D18" s="12">
        <v>0.243</v>
      </c>
      <c r="E18" s="224" t="e">
        <f>SUM(E10)</f>
        <v>#REF!</v>
      </c>
      <c r="F18" s="10" t="e">
        <f>D18*E18</f>
        <v>#REF!</v>
      </c>
    </row>
    <row r="19" spans="1:6" ht="19.5" customHeight="1" hidden="1">
      <c r="A19" s="308">
        <v>3</v>
      </c>
      <c r="B19" s="309" t="s">
        <v>267</v>
      </c>
      <c r="C19" s="309" t="s">
        <v>272</v>
      </c>
      <c r="D19" s="309">
        <v>1.07</v>
      </c>
      <c r="E19" s="310">
        <f>SUM(E11)</f>
        <v>70</v>
      </c>
      <c r="F19" s="311">
        <f>D19*E19</f>
        <v>74.9</v>
      </c>
    </row>
  </sheetData>
  <sheetProtection/>
  <mergeCells count="7">
    <mergeCell ref="A14:F14"/>
    <mergeCell ref="A2:F2"/>
    <mergeCell ref="B4:D4"/>
    <mergeCell ref="B5:D5"/>
    <mergeCell ref="A6:F6"/>
    <mergeCell ref="A13:B13"/>
    <mergeCell ref="C13:E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="160" zoomScaleNormal="160" workbookViewId="0" topLeftCell="A1">
      <selection activeCell="E21" sqref="E21"/>
    </sheetView>
  </sheetViews>
  <sheetFormatPr defaultColWidth="8.75390625" defaultRowHeight="14.25"/>
  <cols>
    <col min="1" max="1" width="7.7539062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284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461" t="s">
        <v>285</v>
      </c>
      <c r="B3" s="461"/>
      <c r="C3" s="461"/>
      <c r="D3" s="461"/>
      <c r="E3" s="295"/>
      <c r="F3" s="299"/>
    </row>
    <row r="4" spans="1:6" ht="21" customHeight="1">
      <c r="A4" s="462" t="s">
        <v>286</v>
      </c>
      <c r="B4" s="462"/>
      <c r="C4" s="462"/>
      <c r="D4" s="462"/>
      <c r="E4" s="295"/>
      <c r="F4" s="296"/>
    </row>
    <row r="5" spans="1:6" ht="16.5" customHeight="1">
      <c r="A5" s="463" t="s">
        <v>287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38</v>
      </c>
      <c r="B8" s="227" t="s">
        <v>268</v>
      </c>
      <c r="C8" s="227" t="s">
        <v>274</v>
      </c>
      <c r="D8" s="227" t="s">
        <v>44</v>
      </c>
      <c r="E8" s="227" t="s">
        <v>45</v>
      </c>
      <c r="F8" s="227" t="s">
        <v>288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F10+F22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F11+F15+F18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SUM(F12:F14)</f>
        <v>534.271</v>
      </c>
    </row>
    <row r="12" spans="1:6" ht="19.5" customHeight="1">
      <c r="A12" s="227"/>
      <c r="B12" s="227" t="s">
        <v>262</v>
      </c>
      <c r="C12" s="227" t="s">
        <v>291</v>
      </c>
      <c r="D12" s="227">
        <v>1.3</v>
      </c>
      <c r="E12" s="228">
        <f>SUM('人工'!E5)</f>
        <v>11.98</v>
      </c>
      <c r="F12" s="229">
        <f>D12*E12</f>
        <v>15.574000000000002</v>
      </c>
    </row>
    <row r="13" spans="1:6" ht="19.5" customHeight="1">
      <c r="A13" s="227"/>
      <c r="B13" s="227" t="s">
        <v>265</v>
      </c>
      <c r="C13" s="227" t="s">
        <v>291</v>
      </c>
      <c r="D13" s="228">
        <v>29.9</v>
      </c>
      <c r="E13" s="228">
        <f>SUM('人工'!E7)</f>
        <v>9.33</v>
      </c>
      <c r="F13" s="229">
        <f>D13*E13</f>
        <v>278.967</v>
      </c>
    </row>
    <row r="14" spans="1:6" ht="19.5" customHeight="1">
      <c r="A14" s="227"/>
      <c r="B14" s="227" t="s">
        <v>266</v>
      </c>
      <c r="C14" s="227" t="s">
        <v>291</v>
      </c>
      <c r="D14" s="228">
        <v>36.6</v>
      </c>
      <c r="E14" s="228">
        <f>SUM('人工'!E8)</f>
        <v>6.55</v>
      </c>
      <c r="F14" s="229">
        <f>D14*E14</f>
        <v>239.73</v>
      </c>
    </row>
    <row r="15" spans="1:6" ht="19.5" customHeight="1">
      <c r="A15" s="227">
        <v>2</v>
      </c>
      <c r="B15" s="227" t="s">
        <v>163</v>
      </c>
      <c r="C15" s="227"/>
      <c r="D15" s="231"/>
      <c r="E15" s="232"/>
      <c r="F15" s="228">
        <f>SUM(F16:F17)</f>
        <v>34020</v>
      </c>
    </row>
    <row r="16" spans="1:6" ht="19.5" customHeight="1">
      <c r="A16" s="227"/>
      <c r="B16" s="227" t="s">
        <v>292</v>
      </c>
      <c r="C16" s="222" t="s">
        <v>196</v>
      </c>
      <c r="D16" s="228">
        <v>2.1</v>
      </c>
      <c r="E16" s="228">
        <v>15000</v>
      </c>
      <c r="F16" s="228">
        <f>D16*E16</f>
        <v>31500</v>
      </c>
    </row>
    <row r="17" spans="1:6" ht="19.5" customHeight="1">
      <c r="A17" s="227"/>
      <c r="B17" s="227" t="s">
        <v>293</v>
      </c>
      <c r="C17" s="227" t="s">
        <v>156</v>
      </c>
      <c r="D17" s="230">
        <v>8</v>
      </c>
      <c r="E17" s="228">
        <f>SUM(F16)</f>
        <v>31500</v>
      </c>
      <c r="F17" s="228">
        <f>SUM(E17*D17/100)</f>
        <v>2520</v>
      </c>
    </row>
    <row r="18" spans="1:6" ht="19.5" customHeight="1">
      <c r="A18" s="227">
        <v>3</v>
      </c>
      <c r="B18" s="227" t="s">
        <v>294</v>
      </c>
      <c r="C18" s="222"/>
      <c r="D18" s="231"/>
      <c r="E18" s="232"/>
      <c r="F18" s="228" t="e">
        <f>SUM(F20:F21)</f>
        <v>#REF!</v>
      </c>
    </row>
    <row r="19" spans="1:6" ht="19.5" customHeight="1" hidden="1">
      <c r="A19" s="227"/>
      <c r="B19" s="234"/>
      <c r="C19" s="234"/>
      <c r="D19" s="228"/>
      <c r="E19" s="228"/>
      <c r="F19" s="228"/>
    </row>
    <row r="20" spans="1:6" ht="19.5" customHeight="1">
      <c r="A20" s="227"/>
      <c r="B20" s="234" t="s">
        <v>295</v>
      </c>
      <c r="C20" s="234" t="s">
        <v>179</v>
      </c>
      <c r="D20" s="228">
        <v>0.39</v>
      </c>
      <c r="E20" s="228" t="e">
        <f>SUM('台时-1'!C27)</f>
        <v>#REF!</v>
      </c>
      <c r="F20" s="228" t="e">
        <f>D20*E20</f>
        <v>#REF!</v>
      </c>
    </row>
    <row r="21" spans="1:6" ht="19.5" customHeight="1">
      <c r="A21" s="227"/>
      <c r="B21" s="234" t="s">
        <v>227</v>
      </c>
      <c r="C21" s="234" t="s">
        <v>179</v>
      </c>
      <c r="D21" s="228">
        <v>5.25</v>
      </c>
      <c r="E21" s="228">
        <f>SUM('台时-2'!C22)</f>
        <v>0.8172444588779735</v>
      </c>
      <c r="F21" s="228">
        <f>D21*E21</f>
        <v>4.2905334091093605</v>
      </c>
    </row>
    <row r="22" spans="1:6" ht="19.5" customHeight="1">
      <c r="A22" s="227" t="s">
        <v>57</v>
      </c>
      <c r="B22" s="227" t="s">
        <v>165</v>
      </c>
      <c r="C22" s="227" t="s">
        <v>156</v>
      </c>
      <c r="D22" s="235">
        <v>10.5</v>
      </c>
      <c r="E22" s="235"/>
      <c r="F22" s="238" t="e">
        <f>F10*D22/100</f>
        <v>#REF!</v>
      </c>
    </row>
    <row r="23" spans="1:6" ht="19.5" customHeight="1">
      <c r="A23" s="227" t="s">
        <v>13</v>
      </c>
      <c r="B23" s="227" t="s">
        <v>166</v>
      </c>
      <c r="C23" s="227" t="s">
        <v>156</v>
      </c>
      <c r="D23" s="235">
        <v>12.5</v>
      </c>
      <c r="E23" s="235"/>
      <c r="F23" s="238" t="e">
        <f>F9*D23/100</f>
        <v>#REF!</v>
      </c>
    </row>
    <row r="24" spans="1:6" ht="19.5" customHeight="1">
      <c r="A24" s="227" t="s">
        <v>21</v>
      </c>
      <c r="B24" s="227" t="s">
        <v>296</v>
      </c>
      <c r="C24" s="227" t="s">
        <v>156</v>
      </c>
      <c r="D24" s="235">
        <v>7</v>
      </c>
      <c r="E24" s="235"/>
      <c r="F24" s="238" t="e">
        <f>(F9+F23)*D24/100</f>
        <v>#REF!</v>
      </c>
    </row>
    <row r="25" spans="1:6" ht="19.5" customHeight="1" hidden="1">
      <c r="A25" s="227" t="s">
        <v>60</v>
      </c>
      <c r="B25" s="227" t="s">
        <v>297</v>
      </c>
      <c r="C25" s="227"/>
      <c r="D25" s="235"/>
      <c r="E25" s="235"/>
      <c r="F25" s="238"/>
    </row>
    <row r="26" spans="1:6" ht="19.5" customHeight="1">
      <c r="A26" s="227" t="s">
        <v>60</v>
      </c>
      <c r="B26" s="227" t="s">
        <v>167</v>
      </c>
      <c r="C26" s="227" t="s">
        <v>156</v>
      </c>
      <c r="D26" s="235">
        <v>9</v>
      </c>
      <c r="E26" s="235"/>
      <c r="F26" s="238" t="e">
        <f>(F9+F23+F24+F25)*D26/100</f>
        <v>#REF!</v>
      </c>
    </row>
    <row r="27" spans="1:6" ht="19.5" customHeight="1">
      <c r="A27" s="235"/>
      <c r="B27" s="228" t="s">
        <v>276</v>
      </c>
      <c r="C27" s="235"/>
      <c r="D27" s="235"/>
      <c r="E27" s="235"/>
      <c r="F27" s="238" t="e">
        <f>F9+F23+F24+F25+F26</f>
        <v>#REF!</v>
      </c>
    </row>
    <row r="28" spans="1:6" ht="19.5" customHeight="1" hidden="1">
      <c r="A28" s="243"/>
      <c r="B28" s="228" t="s">
        <v>275</v>
      </c>
      <c r="C28" s="227"/>
      <c r="D28" s="227"/>
      <c r="E28" s="227"/>
      <c r="F28" s="228" t="e">
        <f>F27/100</f>
        <v>#REF!</v>
      </c>
    </row>
  </sheetData>
  <sheetProtection/>
  <mergeCells count="4">
    <mergeCell ref="A1:F1"/>
    <mergeCell ref="A3:D3"/>
    <mergeCell ref="A4:D4"/>
    <mergeCell ref="A5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8"/>
  <sheetViews>
    <sheetView zoomScale="145" zoomScaleNormal="145" workbookViewId="0" topLeftCell="A1">
      <selection activeCell="A4" sqref="A4:D4"/>
    </sheetView>
  </sheetViews>
  <sheetFormatPr defaultColWidth="8.75390625" defaultRowHeight="14.25"/>
  <cols>
    <col min="1" max="1" width="7.7539062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247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461" t="s">
        <v>298</v>
      </c>
      <c r="B3" s="461"/>
      <c r="C3" s="461"/>
      <c r="D3" s="461"/>
      <c r="E3" s="461"/>
      <c r="F3" s="461"/>
    </row>
    <row r="4" spans="1:6" ht="21" customHeight="1">
      <c r="A4" s="462" t="s">
        <v>299</v>
      </c>
      <c r="B4" s="462"/>
      <c r="C4" s="462"/>
      <c r="D4" s="462"/>
      <c r="E4" s="295"/>
      <c r="F4" s="296"/>
    </row>
    <row r="5" spans="1:6" ht="16.5" customHeight="1">
      <c r="A5" s="463" t="s">
        <v>300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F10+F32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F11+F16+F22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17319.01402</v>
      </c>
    </row>
    <row r="12" spans="1:6" ht="19.5" customHeight="1">
      <c r="A12" s="227"/>
      <c r="B12" s="227" t="s">
        <v>262</v>
      </c>
      <c r="C12" s="227" t="s">
        <v>291</v>
      </c>
      <c r="D12" s="227">
        <f>30.8+78.2*0.2</f>
        <v>46.44</v>
      </c>
      <c r="E12" s="228">
        <f>SUM('人工'!E5)</f>
        <v>11.98</v>
      </c>
      <c r="F12" s="229">
        <f>D12*E12</f>
        <v>556.3512</v>
      </c>
    </row>
    <row r="13" spans="1:6" ht="19.5" customHeight="1">
      <c r="A13" s="227"/>
      <c r="B13" s="227" t="s">
        <v>264</v>
      </c>
      <c r="C13" s="227" t="s">
        <v>291</v>
      </c>
      <c r="D13" s="230">
        <f>102.6</f>
        <v>102.6</v>
      </c>
      <c r="E13" s="228">
        <f>SUM('人工'!E6)</f>
        <v>11.09</v>
      </c>
      <c r="F13" s="229">
        <f>D13*E13</f>
        <v>1137.8339999999998</v>
      </c>
    </row>
    <row r="14" spans="1:6" ht="19.5" customHeight="1">
      <c r="A14" s="227"/>
      <c r="B14" s="227" t="s">
        <v>265</v>
      </c>
      <c r="C14" s="227" t="s">
        <v>291</v>
      </c>
      <c r="D14" s="228">
        <f>584.8+126.2*1.03+37.6*1.03</f>
        <v>753.5139999999999</v>
      </c>
      <c r="E14" s="228">
        <f>SUM('人工'!E7)</f>
        <v>9.33</v>
      </c>
      <c r="F14" s="229">
        <f>D14*E14</f>
        <v>7030.285619999999</v>
      </c>
    </row>
    <row r="15" spans="1:6" ht="19.5" customHeight="1">
      <c r="A15" s="227"/>
      <c r="B15" s="227" t="s">
        <v>266</v>
      </c>
      <c r="C15" s="227" t="s">
        <v>291</v>
      </c>
      <c r="D15" s="228">
        <f>307.8+167.2*1.03+30.8*1.03+32.8*1.03+3833.1*0.2</f>
        <v>1312.144</v>
      </c>
      <c r="E15" s="228">
        <f>SUM('人工'!E8)</f>
        <v>6.55</v>
      </c>
      <c r="F15" s="229">
        <f>D15*E15</f>
        <v>8594.5432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SUM(F17:F21)</f>
        <v>#REF!</v>
      </c>
    </row>
    <row r="17" spans="1:6" ht="19.5" customHeight="1">
      <c r="A17" s="227"/>
      <c r="B17" s="227" t="s">
        <v>301</v>
      </c>
      <c r="C17" s="227" t="s">
        <v>302</v>
      </c>
      <c r="D17" s="228">
        <f>24.29*0.2</f>
        <v>4.8580000000000005</v>
      </c>
      <c r="E17" s="228">
        <v>80</v>
      </c>
      <c r="F17" s="228">
        <f>D17*E17</f>
        <v>388.64000000000004</v>
      </c>
    </row>
    <row r="18" spans="1:6" ht="19.5" customHeight="1">
      <c r="A18" s="227"/>
      <c r="B18" s="227" t="s">
        <v>303</v>
      </c>
      <c r="C18" s="227" t="s">
        <v>283</v>
      </c>
      <c r="D18" s="228">
        <f>44.48*0.2</f>
        <v>8.895999999999999</v>
      </c>
      <c r="E18" s="228">
        <v>4.6</v>
      </c>
      <c r="F18" s="228">
        <f>D18*E18</f>
        <v>40.92159999999999</v>
      </c>
    </row>
    <row r="19" spans="1:6" ht="19.5" customHeight="1">
      <c r="A19" s="227"/>
      <c r="B19" s="233" t="s">
        <v>304</v>
      </c>
      <c r="C19" s="222" t="s">
        <v>196</v>
      </c>
      <c r="D19" s="228">
        <v>103</v>
      </c>
      <c r="E19" s="228" t="e">
        <f>SUM(#REF!)</f>
        <v>#REF!</v>
      </c>
      <c r="F19" s="228" t="e">
        <f>D19*E19</f>
        <v>#REF!</v>
      </c>
    </row>
    <row r="20" spans="1:6" ht="19.5" customHeight="1">
      <c r="A20" s="227"/>
      <c r="B20" s="227" t="s">
        <v>278</v>
      </c>
      <c r="C20" s="222" t="s">
        <v>196</v>
      </c>
      <c r="D20" s="228">
        <f>122+25.26*0.2</f>
        <v>127.052</v>
      </c>
      <c r="E20" s="228" t="e">
        <f>SUM(#REF!)</f>
        <v>#REF!</v>
      </c>
      <c r="F20" s="228" t="e">
        <f>D20*E20</f>
        <v>#REF!</v>
      </c>
    </row>
    <row r="21" spans="1:6" ht="19.5" customHeight="1">
      <c r="A21" s="227"/>
      <c r="B21" s="227" t="s">
        <v>293</v>
      </c>
      <c r="C21" s="227" t="s">
        <v>156</v>
      </c>
      <c r="D21" s="230"/>
      <c r="E21" s="232"/>
      <c r="F21" s="228" t="e">
        <f>(F19+122*E20)*0.03+32.8*1.03*E15*0.2+(37.6*1.03*E14+30.8*1.03*E15+F30)*0.05+(126.2*1.03*E14+167.2*1.03*E15+F28+F29)*0.02+(F17+F18+25.26*0.2*E20)*0.05</f>
        <v>#REF!</v>
      </c>
    </row>
    <row r="22" spans="1:6" ht="19.5" customHeight="1">
      <c r="A22" s="227">
        <v>3</v>
      </c>
      <c r="B22" s="234" t="s">
        <v>164</v>
      </c>
      <c r="C22" s="222"/>
      <c r="D22" s="231"/>
      <c r="E22" s="232"/>
      <c r="F22" s="228" t="e">
        <f>SUM(F23:F31)</f>
        <v>#REF!</v>
      </c>
    </row>
    <row r="23" spans="1:6" ht="19.5" customHeight="1">
      <c r="A23" s="227"/>
      <c r="B23" s="227" t="s">
        <v>305</v>
      </c>
      <c r="C23" s="234" t="s">
        <v>179</v>
      </c>
      <c r="D23" s="228">
        <f>145.83*0.2</f>
        <v>29.166000000000004</v>
      </c>
      <c r="E23" s="228" t="e">
        <f>SUM('台时-1'!C18)</f>
        <v>#REF!</v>
      </c>
      <c r="F23" s="228" t="e">
        <f aca="true" t="shared" si="0" ref="F23:F30">D23*E23</f>
        <v>#REF!</v>
      </c>
    </row>
    <row r="24" spans="1:6" ht="19.5" customHeight="1">
      <c r="A24" s="227"/>
      <c r="B24" s="227" t="s">
        <v>306</v>
      </c>
      <c r="C24" s="234" t="s">
        <v>179</v>
      </c>
      <c r="D24" s="228">
        <f>36.46*0.2</f>
        <v>7.292000000000001</v>
      </c>
      <c r="E24" s="228" t="e">
        <f>SUM('台时-1'!C19)</f>
        <v>#REF!</v>
      </c>
      <c r="F24" s="228" t="e">
        <f t="shared" si="0"/>
        <v>#REF!</v>
      </c>
    </row>
    <row r="25" spans="1:6" ht="19.5" customHeight="1">
      <c r="A25" s="227"/>
      <c r="B25" s="227" t="s">
        <v>307</v>
      </c>
      <c r="C25" s="234" t="s">
        <v>179</v>
      </c>
      <c r="D25" s="228">
        <v>37.38</v>
      </c>
      <c r="E25" s="228" t="e">
        <f>SUM('台时-2'!C6)</f>
        <v>#REF!</v>
      </c>
      <c r="F25" s="228" t="e">
        <f t="shared" si="0"/>
        <v>#REF!</v>
      </c>
    </row>
    <row r="26" spans="1:6" ht="19.5" customHeight="1">
      <c r="A26" s="227"/>
      <c r="B26" s="227" t="s">
        <v>308</v>
      </c>
      <c r="C26" s="234" t="s">
        <v>179</v>
      </c>
      <c r="D26" s="228">
        <v>7.81</v>
      </c>
      <c r="E26" s="228" t="e">
        <f>SUM('台时-2'!C12)</f>
        <v>#REF!</v>
      </c>
      <c r="F26" s="228" t="e">
        <f t="shared" si="0"/>
        <v>#REF!</v>
      </c>
    </row>
    <row r="27" spans="1:6" ht="19.5" customHeight="1" hidden="1">
      <c r="A27" s="227"/>
      <c r="B27" s="234"/>
      <c r="C27" s="234"/>
      <c r="D27" s="228"/>
      <c r="E27" s="228"/>
      <c r="F27" s="228"/>
    </row>
    <row r="28" spans="1:6" ht="19.5" customHeight="1">
      <c r="A28" s="227"/>
      <c r="B28" s="234" t="s">
        <v>295</v>
      </c>
      <c r="C28" s="234" t="s">
        <v>179</v>
      </c>
      <c r="D28" s="228">
        <f>18.9*1.03</f>
        <v>19.467</v>
      </c>
      <c r="E28" s="228" t="e">
        <f>SUM('台时-1'!C27)</f>
        <v>#REF!</v>
      </c>
      <c r="F28" s="228" t="e">
        <f t="shared" si="0"/>
        <v>#REF!</v>
      </c>
    </row>
    <row r="29" spans="1:6" ht="19.5" customHeight="1">
      <c r="A29" s="227"/>
      <c r="B29" s="234" t="s">
        <v>227</v>
      </c>
      <c r="C29" s="234" t="s">
        <v>179</v>
      </c>
      <c r="D29" s="228">
        <f>87.15*1.03</f>
        <v>89.76450000000001</v>
      </c>
      <c r="E29" s="228">
        <f>SUM('台时-2'!C22)</f>
        <v>0.8172444588779735</v>
      </c>
      <c r="F29" s="228">
        <f t="shared" si="0"/>
        <v>73.35954022895186</v>
      </c>
    </row>
    <row r="30" spans="1:6" ht="19.5" customHeight="1">
      <c r="A30" s="227"/>
      <c r="B30" s="234" t="s">
        <v>309</v>
      </c>
      <c r="C30" s="234" t="s">
        <v>179</v>
      </c>
      <c r="D30" s="228">
        <f>23.73*1.03</f>
        <v>24.4419</v>
      </c>
      <c r="E30" s="228">
        <f>SUM('台时-4'!C23)</f>
        <v>18.812912072744986</v>
      </c>
      <c r="F30" s="228">
        <f t="shared" si="0"/>
        <v>459.8233155908257</v>
      </c>
    </row>
    <row r="31" spans="1:6" ht="19.5" customHeight="1">
      <c r="A31" s="227"/>
      <c r="B31" s="234" t="s">
        <v>310</v>
      </c>
      <c r="C31" s="227" t="s">
        <v>156</v>
      </c>
      <c r="D31" s="231"/>
      <c r="E31" s="232"/>
      <c r="F31" s="228" t="e">
        <f>(F25+F26)*0.1+(F23+F24)*0.05</f>
        <v>#REF!</v>
      </c>
    </row>
    <row r="32" spans="1:6" ht="19.5" customHeight="1">
      <c r="A32" s="227" t="s">
        <v>57</v>
      </c>
      <c r="B32" s="227" t="s">
        <v>165</v>
      </c>
      <c r="C32" s="227" t="s">
        <v>156</v>
      </c>
      <c r="D32" s="235">
        <v>10.5</v>
      </c>
      <c r="E32" s="235"/>
      <c r="F32" s="238" t="e">
        <f>F10*D32/100</f>
        <v>#REF!</v>
      </c>
    </row>
    <row r="33" spans="1:6" ht="19.5" customHeight="1">
      <c r="A33" s="227" t="s">
        <v>13</v>
      </c>
      <c r="B33" s="227" t="s">
        <v>166</v>
      </c>
      <c r="C33" s="227" t="s">
        <v>156</v>
      </c>
      <c r="D33" s="235">
        <v>9.5</v>
      </c>
      <c r="E33" s="235"/>
      <c r="F33" s="238" t="e">
        <f>F9*D33/100</f>
        <v>#REF!</v>
      </c>
    </row>
    <row r="34" spans="1:6" ht="19.5" customHeight="1">
      <c r="A34" s="227" t="s">
        <v>21</v>
      </c>
      <c r="B34" s="227" t="s">
        <v>296</v>
      </c>
      <c r="C34" s="227" t="s">
        <v>156</v>
      </c>
      <c r="D34" s="235">
        <v>7</v>
      </c>
      <c r="E34" s="235"/>
      <c r="F34" s="238" t="e">
        <f>(F9+F33)*D34/100</f>
        <v>#REF!</v>
      </c>
    </row>
    <row r="35" spans="1:6" ht="19.5" customHeight="1">
      <c r="A35" s="227" t="s">
        <v>60</v>
      </c>
      <c r="B35" s="227" t="s">
        <v>297</v>
      </c>
      <c r="C35" s="227"/>
      <c r="D35" s="235"/>
      <c r="E35" s="235"/>
      <c r="F35" s="238" t="e">
        <f>SUM(D19*#REF!*(#REF!-255)+D19*#REF!*(#REF!-70)+D19*#REF!*(#REF!-70)+D30*'台时-4'!J23/1000*(#REF!-2990))</f>
        <v>#REF!</v>
      </c>
    </row>
    <row r="36" spans="1:6" ht="19.5" customHeight="1">
      <c r="A36" s="227" t="s">
        <v>62</v>
      </c>
      <c r="B36" s="227" t="s">
        <v>167</v>
      </c>
      <c r="C36" s="227" t="s">
        <v>156</v>
      </c>
      <c r="D36" s="235">
        <v>9</v>
      </c>
      <c r="E36" s="235"/>
      <c r="F36" s="238" t="e">
        <f>(F9+F33+F34+F35)*D36/100</f>
        <v>#REF!</v>
      </c>
    </row>
    <row r="37" spans="1:6" ht="19.5" customHeight="1">
      <c r="A37" s="235"/>
      <c r="B37" s="228" t="s">
        <v>276</v>
      </c>
      <c r="C37" s="235"/>
      <c r="D37" s="235"/>
      <c r="E37" s="235"/>
      <c r="F37" s="238" t="e">
        <f>F9+F33+F34+F35+F36</f>
        <v>#REF!</v>
      </c>
    </row>
    <row r="38" spans="1:6" ht="19.5" customHeight="1" hidden="1">
      <c r="A38" s="243"/>
      <c r="B38" s="228" t="s">
        <v>275</v>
      </c>
      <c r="C38" s="227"/>
      <c r="D38" s="227"/>
      <c r="E38" s="227"/>
      <c r="F38" s="228" t="e">
        <f>F37/100</f>
        <v>#REF!</v>
      </c>
    </row>
  </sheetData>
  <sheetProtection/>
  <mergeCells count="4">
    <mergeCell ref="A1:F1"/>
    <mergeCell ref="A3:F3"/>
    <mergeCell ref="A4:D4"/>
    <mergeCell ref="A5:F7"/>
  </mergeCells>
  <printOptions/>
  <pageMargins left="0.9055118110236221" right="0.7086614173228347" top="0.7480314960629921" bottom="0.7480314960629921" header="0.31496062992125984" footer="0.5118110236220472"/>
  <pageSetup horizontalDpi="600" verticalDpi="600" orientation="portrait" paperSize="9"/>
  <headerFooter>
    <oddFooter>&amp;C-&amp;P--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8"/>
  <sheetViews>
    <sheetView zoomScale="145" zoomScaleNormal="145" workbookViewId="0" topLeftCell="A13">
      <selection activeCell="E21" sqref="E21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7" width="9.00390625" style="27" bestFit="1" customWidth="1"/>
    <col min="8" max="8" width="12.625" style="27" bestFit="1" customWidth="1"/>
    <col min="9" max="32" width="9.00390625" style="27" bestFit="1" customWidth="1"/>
    <col min="33" max="16384" width="8.625" style="27" customWidth="1"/>
  </cols>
  <sheetData>
    <row r="1" spans="1:6" ht="20.25">
      <c r="A1" s="444" t="s">
        <v>311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461" t="s">
        <v>312</v>
      </c>
      <c r="B3" s="461"/>
      <c r="C3" s="461"/>
      <c r="D3" s="461"/>
      <c r="E3" s="461"/>
      <c r="F3" s="461"/>
    </row>
    <row r="4" spans="1:6" ht="21" customHeight="1">
      <c r="A4" s="462" t="s">
        <v>299</v>
      </c>
      <c r="B4" s="462"/>
      <c r="C4" s="462"/>
      <c r="D4" s="462"/>
      <c r="E4" s="295"/>
      <c r="F4" s="296"/>
    </row>
    <row r="5" spans="1:6" ht="19.5" customHeight="1">
      <c r="A5" s="465" t="s">
        <v>313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>
        <f>F10+F20</f>
        <v>13923.52398341317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>
        <f>F11+F15+F18</f>
        <v>12657.749075830154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SUM(F12:F14)</f>
        <v>4390.671</v>
      </c>
    </row>
    <row r="12" spans="1:6" ht="19.5" customHeight="1">
      <c r="A12" s="29"/>
      <c r="B12" s="29" t="s">
        <v>262</v>
      </c>
      <c r="C12" s="29" t="s">
        <v>291</v>
      </c>
      <c r="D12" s="33">
        <v>11.6</v>
      </c>
      <c r="E12" s="31">
        <f>SUM('人工'!E5)</f>
        <v>11.98</v>
      </c>
      <c r="F12" s="32">
        <f>D12*E12</f>
        <v>138.968</v>
      </c>
    </row>
    <row r="13" spans="1:6" ht="19.5" customHeight="1">
      <c r="A13" s="29"/>
      <c r="B13" s="29" t="s">
        <v>265</v>
      </c>
      <c r="C13" s="29" t="s">
        <v>291</v>
      </c>
      <c r="D13" s="29">
        <v>179.1</v>
      </c>
      <c r="E13" s="31">
        <f>SUM('人工'!E7)</f>
        <v>9.33</v>
      </c>
      <c r="F13" s="32">
        <f>D13*E13</f>
        <v>1671.003</v>
      </c>
    </row>
    <row r="14" spans="1:8" ht="19.5" customHeight="1">
      <c r="A14" s="29"/>
      <c r="B14" s="29" t="s">
        <v>266</v>
      </c>
      <c r="C14" s="29" t="s">
        <v>291</v>
      </c>
      <c r="D14" s="33">
        <v>394</v>
      </c>
      <c r="E14" s="31">
        <f>SUM('人工'!E8)</f>
        <v>6.55</v>
      </c>
      <c r="F14" s="31">
        <f>D14*E14</f>
        <v>2580.7</v>
      </c>
      <c r="H14" s="42"/>
    </row>
    <row r="15" spans="1:6" ht="19.5" customHeight="1">
      <c r="A15" s="29">
        <v>2</v>
      </c>
      <c r="B15" s="29" t="s">
        <v>163</v>
      </c>
      <c r="C15" s="29"/>
      <c r="D15" s="33"/>
      <c r="E15" s="31"/>
      <c r="F15" s="31">
        <f>SUM(F16:F17)</f>
        <v>8201.2</v>
      </c>
    </row>
    <row r="16" spans="1:6" ht="19.5" customHeight="1">
      <c r="A16" s="29"/>
      <c r="B16" s="29" t="s">
        <v>198</v>
      </c>
      <c r="C16" s="43" t="s">
        <v>196</v>
      </c>
      <c r="D16" s="33">
        <v>116</v>
      </c>
      <c r="E16" s="31">
        <v>70</v>
      </c>
      <c r="F16" s="31">
        <f>D16*E16</f>
        <v>8120</v>
      </c>
    </row>
    <row r="17" spans="1:6" ht="19.5" customHeight="1">
      <c r="A17" s="29"/>
      <c r="B17" s="29" t="s">
        <v>315</v>
      </c>
      <c r="C17" s="29" t="s">
        <v>156</v>
      </c>
      <c r="D17" s="33">
        <v>1</v>
      </c>
      <c r="E17" s="31">
        <f>SUM(F16)</f>
        <v>8120</v>
      </c>
      <c r="F17" s="31">
        <f>F16*D17/100</f>
        <v>81.2</v>
      </c>
    </row>
    <row r="18" spans="1:6" ht="19.5" customHeight="1">
      <c r="A18" s="29">
        <v>3</v>
      </c>
      <c r="B18" s="29" t="s">
        <v>164</v>
      </c>
      <c r="C18" s="29"/>
      <c r="D18" s="34"/>
      <c r="E18" s="31"/>
      <c r="F18" s="31">
        <f>SUM(F19:F19)</f>
        <v>65.87807583015343</v>
      </c>
    </row>
    <row r="19" spans="1:6" ht="19.5" customHeight="1">
      <c r="A19" s="29"/>
      <c r="B19" s="39" t="s">
        <v>227</v>
      </c>
      <c r="C19" s="29" t="s">
        <v>179</v>
      </c>
      <c r="D19" s="31">
        <v>80.61</v>
      </c>
      <c r="E19" s="31">
        <f>'台时-2'!C22</f>
        <v>0.8172444588779735</v>
      </c>
      <c r="F19" s="31">
        <f>D19*E19</f>
        <v>65.87807583015343</v>
      </c>
    </row>
    <row r="20" spans="1:8" ht="19.5" customHeight="1">
      <c r="A20" s="29" t="s">
        <v>57</v>
      </c>
      <c r="B20" s="29" t="s">
        <v>165</v>
      </c>
      <c r="C20" s="29" t="s">
        <v>156</v>
      </c>
      <c r="D20" s="29">
        <v>10</v>
      </c>
      <c r="E20" s="29"/>
      <c r="F20" s="31">
        <f>F10*D20/100</f>
        <v>1265.7749075830154</v>
      </c>
      <c r="H20" s="300"/>
    </row>
    <row r="21" spans="1:6" ht="19.5" customHeight="1">
      <c r="A21" s="29" t="s">
        <v>13</v>
      </c>
      <c r="B21" s="29" t="s">
        <v>166</v>
      </c>
      <c r="C21" s="29" t="s">
        <v>156</v>
      </c>
      <c r="D21" s="29">
        <v>12.5</v>
      </c>
      <c r="E21" s="29"/>
      <c r="F21" s="31">
        <f>F9*D21/100</f>
        <v>1740.4404979266462</v>
      </c>
    </row>
    <row r="22" spans="1:6" ht="19.5" customHeight="1">
      <c r="A22" s="29" t="s">
        <v>21</v>
      </c>
      <c r="B22" s="29" t="s">
        <v>296</v>
      </c>
      <c r="C22" s="29" t="s">
        <v>156</v>
      </c>
      <c r="D22" s="29">
        <v>7</v>
      </c>
      <c r="E22" s="29"/>
      <c r="F22" s="31">
        <f>(F9+F21)*D22/100</f>
        <v>1096.477513693787</v>
      </c>
    </row>
    <row r="23" spans="1:6" ht="19.5" customHeight="1">
      <c r="A23" s="29" t="s">
        <v>60</v>
      </c>
      <c r="B23" s="29" t="s">
        <v>297</v>
      </c>
      <c r="C23" s="29"/>
      <c r="D23" s="29"/>
      <c r="E23" s="29"/>
      <c r="F23" s="31" t="e">
        <f>SUM(D16*(#REF!-70))</f>
        <v>#REF!</v>
      </c>
    </row>
    <row r="24" spans="1:6" ht="19.5" customHeight="1">
      <c r="A24" s="29" t="s">
        <v>62</v>
      </c>
      <c r="B24" s="29" t="s">
        <v>167</v>
      </c>
      <c r="C24" s="29" t="s">
        <v>156</v>
      </c>
      <c r="D24" s="29">
        <v>9</v>
      </c>
      <c r="E24" s="29"/>
      <c r="F24" s="31" t="e">
        <f>(F9+F21+F22+F23)*D24/100</f>
        <v>#REF!</v>
      </c>
    </row>
    <row r="25" spans="1:6" ht="19.5" customHeight="1">
      <c r="A25" s="29"/>
      <c r="B25" s="31" t="s">
        <v>276</v>
      </c>
      <c r="C25" s="29"/>
      <c r="D25" s="29"/>
      <c r="E25" s="29"/>
      <c r="F25" s="31" t="e">
        <f>SUM(F9+F21+F22+F23+F24)</f>
        <v>#REF!</v>
      </c>
    </row>
    <row r="26" spans="1:6" ht="19.5" customHeight="1" hidden="1">
      <c r="A26" s="29"/>
      <c r="B26" s="31" t="s">
        <v>275</v>
      </c>
      <c r="C26" s="29"/>
      <c r="D26" s="29"/>
      <c r="E26" s="29"/>
      <c r="F26" s="31" t="e">
        <f>F25/100</f>
        <v>#REF!</v>
      </c>
    </row>
    <row r="27" spans="1:6" ht="19.5" customHeight="1">
      <c r="A27" s="29"/>
      <c r="B27" s="31"/>
      <c r="C27" s="29"/>
      <c r="D27" s="29"/>
      <c r="E27" s="29"/>
      <c r="F27" s="31"/>
    </row>
    <row r="28" spans="1:6" ht="19.5" customHeight="1">
      <c r="A28" s="29"/>
      <c r="B28" s="31"/>
      <c r="C28" s="36"/>
      <c r="D28" s="36"/>
      <c r="E28" s="36"/>
      <c r="F28" s="3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F1"/>
    <mergeCell ref="A3:F3"/>
    <mergeCell ref="A4:D4"/>
    <mergeCell ref="A5:F7"/>
  </mergeCells>
  <printOptions/>
  <pageMargins left="0.9448818897637796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8"/>
  <sheetViews>
    <sheetView zoomScale="130" zoomScaleNormal="130" workbookViewId="0" topLeftCell="A15">
      <selection activeCell="D21" sqref="D21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319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461" t="s">
        <v>320</v>
      </c>
      <c r="B3" s="461"/>
      <c r="C3" s="461"/>
      <c r="D3" s="461"/>
      <c r="E3" s="461"/>
      <c r="F3" s="461"/>
    </row>
    <row r="4" spans="1:6" ht="21" customHeight="1">
      <c r="A4" s="462" t="s">
        <v>299</v>
      </c>
      <c r="B4" s="462"/>
      <c r="C4" s="462"/>
      <c r="D4" s="462"/>
      <c r="E4" s="295"/>
      <c r="F4" s="296"/>
    </row>
    <row r="5" spans="1:6" ht="19.5" customHeight="1">
      <c r="A5" s="465" t="s">
        <v>321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39" t="s">
        <v>290</v>
      </c>
      <c r="C9" s="29"/>
      <c r="D9" s="31"/>
      <c r="E9" s="31"/>
      <c r="F9" s="32">
        <f>F10+F20</f>
        <v>13253.91218341317</v>
      </c>
    </row>
    <row r="10" spans="1:6" ht="19.5" customHeight="1">
      <c r="A10" s="29" t="s">
        <v>49</v>
      </c>
      <c r="B10" s="39" t="s">
        <v>314</v>
      </c>
      <c r="C10" s="29"/>
      <c r="D10" s="29"/>
      <c r="E10" s="31"/>
      <c r="F10" s="32">
        <f>F11+F15+F18</f>
        <v>12049.011075830154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SUM(F12:F14)</f>
        <v>3781.933</v>
      </c>
    </row>
    <row r="12" spans="1:6" ht="19.5" customHeight="1">
      <c r="A12" s="29"/>
      <c r="B12" s="29" t="s">
        <v>262</v>
      </c>
      <c r="C12" s="29" t="s">
        <v>291</v>
      </c>
      <c r="D12" s="33">
        <v>10.2</v>
      </c>
      <c r="E12" s="31">
        <f>SUM('人工'!E5)</f>
        <v>11.98</v>
      </c>
      <c r="F12" s="32">
        <f>D12*E12</f>
        <v>122.196</v>
      </c>
    </row>
    <row r="13" spans="1:6" ht="19.5" customHeight="1">
      <c r="A13" s="29"/>
      <c r="B13" s="29" t="s">
        <v>265</v>
      </c>
      <c r="C13" s="29" t="s">
        <v>291</v>
      </c>
      <c r="D13" s="29">
        <v>142.4</v>
      </c>
      <c r="E13" s="31">
        <f>SUM('人工'!E7)</f>
        <v>9.33</v>
      </c>
      <c r="F13" s="32">
        <f>D13*E13</f>
        <v>1328.592</v>
      </c>
    </row>
    <row r="14" spans="1:8" ht="19.5" customHeight="1">
      <c r="A14" s="29"/>
      <c r="B14" s="29" t="s">
        <v>266</v>
      </c>
      <c r="C14" s="29" t="s">
        <v>291</v>
      </c>
      <c r="D14" s="33">
        <v>355.9</v>
      </c>
      <c r="E14" s="31">
        <f>SUM('人工'!E8)</f>
        <v>6.55</v>
      </c>
      <c r="F14" s="31">
        <f>D14*E14</f>
        <v>2331.145</v>
      </c>
      <c r="H14" s="42"/>
    </row>
    <row r="15" spans="1:6" ht="19.5" customHeight="1">
      <c r="A15" s="29">
        <v>2</v>
      </c>
      <c r="B15" s="29" t="s">
        <v>163</v>
      </c>
      <c r="C15" s="29"/>
      <c r="D15" s="33"/>
      <c r="E15" s="31"/>
      <c r="F15" s="31">
        <f>SUM(F16:F17)</f>
        <v>8201.2</v>
      </c>
    </row>
    <row r="16" spans="1:6" ht="19.5" customHeight="1">
      <c r="A16" s="29"/>
      <c r="B16" s="29" t="s">
        <v>198</v>
      </c>
      <c r="C16" s="43" t="s">
        <v>196</v>
      </c>
      <c r="D16" s="33">
        <v>116</v>
      </c>
      <c r="E16" s="31">
        <v>70</v>
      </c>
      <c r="F16" s="31">
        <f>D16*E16</f>
        <v>8120</v>
      </c>
    </row>
    <row r="17" spans="1:6" ht="19.5" customHeight="1">
      <c r="A17" s="29"/>
      <c r="B17" s="29" t="s">
        <v>315</v>
      </c>
      <c r="C17" s="29" t="s">
        <v>156</v>
      </c>
      <c r="D17" s="33">
        <v>1</v>
      </c>
      <c r="E17" s="31">
        <f>SUM(F16)</f>
        <v>8120</v>
      </c>
      <c r="F17" s="31">
        <f>F16*D17/100</f>
        <v>81.2</v>
      </c>
    </row>
    <row r="18" spans="1:6" ht="19.5" customHeight="1">
      <c r="A18" s="29">
        <v>3</v>
      </c>
      <c r="B18" s="29" t="s">
        <v>164</v>
      </c>
      <c r="C18" s="29"/>
      <c r="D18" s="34"/>
      <c r="E18" s="31"/>
      <c r="F18" s="31">
        <f>SUM(F19:F19)</f>
        <v>65.87807583015343</v>
      </c>
    </row>
    <row r="19" spans="1:6" ht="19.5" customHeight="1">
      <c r="A19" s="29"/>
      <c r="B19" s="39" t="s">
        <v>227</v>
      </c>
      <c r="C19" s="29" t="s">
        <v>179</v>
      </c>
      <c r="D19" s="31">
        <v>80.61</v>
      </c>
      <c r="E19" s="31">
        <f>'台时-2'!C22</f>
        <v>0.8172444588779735</v>
      </c>
      <c r="F19" s="31">
        <f>D19*E19</f>
        <v>65.87807583015343</v>
      </c>
    </row>
    <row r="20" spans="1:6" ht="19.5" customHeight="1">
      <c r="A20" s="29" t="s">
        <v>57</v>
      </c>
      <c r="B20" s="29" t="s">
        <v>165</v>
      </c>
      <c r="C20" s="29" t="s">
        <v>156</v>
      </c>
      <c r="D20" s="29">
        <v>10</v>
      </c>
      <c r="E20" s="29"/>
      <c r="F20" s="31">
        <f>F10*D20/100</f>
        <v>1204.9011075830153</v>
      </c>
    </row>
    <row r="21" spans="1:6" ht="19.5" customHeight="1">
      <c r="A21" s="29" t="s">
        <v>13</v>
      </c>
      <c r="B21" s="29" t="s">
        <v>166</v>
      </c>
      <c r="C21" s="29" t="s">
        <v>156</v>
      </c>
      <c r="D21" s="29">
        <v>12.5</v>
      </c>
      <c r="E21" s="29"/>
      <c r="F21" s="31">
        <f>F9*D21/100</f>
        <v>1656.7390229266464</v>
      </c>
    </row>
    <row r="22" spans="1:6" ht="19.5" customHeight="1">
      <c r="A22" s="29" t="s">
        <v>21</v>
      </c>
      <c r="B22" s="29" t="s">
        <v>296</v>
      </c>
      <c r="C22" s="29" t="s">
        <v>156</v>
      </c>
      <c r="D22" s="29">
        <v>7</v>
      </c>
      <c r="E22" s="29"/>
      <c r="F22" s="31">
        <f>(F9+F21)*D22/100</f>
        <v>1043.745584443787</v>
      </c>
    </row>
    <row r="23" spans="1:6" ht="19.5" customHeight="1">
      <c r="A23" s="29" t="s">
        <v>60</v>
      </c>
      <c r="B23" s="29" t="s">
        <v>297</v>
      </c>
      <c r="C23" s="29"/>
      <c r="D23" s="29"/>
      <c r="E23" s="29"/>
      <c r="F23" s="31" t="e">
        <f>SUM(D16*(#REF!-70))</f>
        <v>#REF!</v>
      </c>
    </row>
    <row r="24" spans="1:6" ht="19.5" customHeight="1">
      <c r="A24" s="29" t="s">
        <v>62</v>
      </c>
      <c r="B24" s="29" t="s">
        <v>167</v>
      </c>
      <c r="C24" s="29" t="s">
        <v>156</v>
      </c>
      <c r="D24" s="29">
        <v>9</v>
      </c>
      <c r="E24" s="29"/>
      <c r="F24" s="31" t="e">
        <f>(F9+F21+F22+F23)*D24/100</f>
        <v>#REF!</v>
      </c>
    </row>
    <row r="25" spans="1:6" ht="19.5" customHeight="1">
      <c r="A25" s="29"/>
      <c r="B25" s="31" t="s">
        <v>276</v>
      </c>
      <c r="C25" s="29"/>
      <c r="D25" s="29"/>
      <c r="E25" s="29"/>
      <c r="F25" s="31" t="e">
        <f>SUM(F9+F21+F22+F23+F24)</f>
        <v>#REF!</v>
      </c>
    </row>
    <row r="26" spans="1:6" ht="19.5" customHeight="1" hidden="1">
      <c r="A26" s="29"/>
      <c r="B26" s="31" t="s">
        <v>275</v>
      </c>
      <c r="C26" s="29"/>
      <c r="D26" s="29"/>
      <c r="E26" s="29"/>
      <c r="F26" s="31" t="e">
        <f>F25/100</f>
        <v>#REF!</v>
      </c>
    </row>
    <row r="27" spans="1:6" ht="19.5" customHeight="1">
      <c r="A27" s="29"/>
      <c r="B27" s="31"/>
      <c r="C27" s="29"/>
      <c r="D27" s="29"/>
      <c r="E27" s="29"/>
      <c r="F27" s="31"/>
    </row>
    <row r="28" spans="1:6" ht="19.5" customHeight="1">
      <c r="A28" s="29"/>
      <c r="B28" s="31"/>
      <c r="C28" s="36"/>
      <c r="D28" s="36"/>
      <c r="E28" s="36"/>
      <c r="F28" s="3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F1"/>
    <mergeCell ref="A3:F3"/>
    <mergeCell ref="A4:D4"/>
    <mergeCell ref="A5:F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&amp;C-&amp;P--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workbookViewId="0" topLeftCell="A13">
      <selection activeCell="A1" sqref="A1:F24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9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322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4" t="s">
        <v>323</v>
      </c>
      <c r="B3" s="298"/>
      <c r="C3" s="298"/>
      <c r="D3" s="298"/>
      <c r="E3" s="296"/>
      <c r="F3" s="299"/>
    </row>
    <row r="4" spans="1:6" ht="21" customHeight="1">
      <c r="A4" s="294" t="s">
        <v>324</v>
      </c>
      <c r="B4" s="298"/>
      <c r="C4" s="298"/>
      <c r="D4" s="298"/>
      <c r="E4" s="296"/>
      <c r="F4" s="296"/>
    </row>
    <row r="5" spans="1:6" ht="19.5" customHeight="1">
      <c r="A5" s="465" t="s">
        <v>325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>
        <f>F10+F15</f>
        <v>62.24976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>
        <f>F11+F13+F14</f>
        <v>55.980000000000004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SUM(F12:F12)</f>
        <v>55.980000000000004</v>
      </c>
    </row>
    <row r="12" spans="1:6" ht="19.5" customHeight="1">
      <c r="A12" s="29"/>
      <c r="B12" s="29" t="s">
        <v>265</v>
      </c>
      <c r="C12" s="29" t="s">
        <v>291</v>
      </c>
      <c r="D12" s="33">
        <v>6</v>
      </c>
      <c r="E12" s="31">
        <f>SUM('人工'!E7)</f>
        <v>9.33</v>
      </c>
      <c r="F12" s="31">
        <f>D12*E12</f>
        <v>55.980000000000004</v>
      </c>
    </row>
    <row r="13" spans="1:6" ht="19.5" customHeight="1">
      <c r="A13" s="29">
        <v>2</v>
      </c>
      <c r="B13" s="29" t="s">
        <v>163</v>
      </c>
      <c r="C13" s="29"/>
      <c r="D13" s="33"/>
      <c r="E13" s="31"/>
      <c r="F13" s="31"/>
    </row>
    <row r="14" spans="1:6" ht="19.5" customHeight="1">
      <c r="A14" s="29">
        <v>3</v>
      </c>
      <c r="B14" s="29" t="s">
        <v>164</v>
      </c>
      <c r="C14" s="29"/>
      <c r="D14" s="34"/>
      <c r="E14" s="31"/>
      <c r="F14" s="31"/>
    </row>
    <row r="15" spans="1:6" ht="19.5" customHeight="1">
      <c r="A15" s="29" t="s">
        <v>57</v>
      </c>
      <c r="B15" s="29" t="s">
        <v>165</v>
      </c>
      <c r="C15" s="29" t="s">
        <v>156</v>
      </c>
      <c r="D15" s="29">
        <v>11.2</v>
      </c>
      <c r="E15" s="29"/>
      <c r="F15" s="31">
        <f>F10*D15/100</f>
        <v>6.26976</v>
      </c>
    </row>
    <row r="16" spans="1:6" ht="19.5" customHeight="1">
      <c r="A16" s="29" t="s">
        <v>13</v>
      </c>
      <c r="B16" s="29" t="s">
        <v>166</v>
      </c>
      <c r="C16" s="29" t="s">
        <v>156</v>
      </c>
      <c r="D16" s="29">
        <v>75</v>
      </c>
      <c r="E16" s="29"/>
      <c r="F16" s="31">
        <f>F11*D16/100</f>
        <v>41.985</v>
      </c>
    </row>
    <row r="17" spans="1:6" ht="19.5" customHeight="1">
      <c r="A17" s="29" t="s">
        <v>21</v>
      </c>
      <c r="B17" s="29" t="s">
        <v>296</v>
      </c>
      <c r="C17" s="29" t="s">
        <v>156</v>
      </c>
      <c r="D17" s="29">
        <v>7</v>
      </c>
      <c r="E17" s="29"/>
      <c r="F17" s="31">
        <f>(F9+F16)*D17/100</f>
        <v>7.296433199999999</v>
      </c>
    </row>
    <row r="18" spans="1:6" ht="19.5" customHeight="1" hidden="1">
      <c r="A18" s="29" t="s">
        <v>60</v>
      </c>
      <c r="B18" s="29" t="s">
        <v>297</v>
      </c>
      <c r="C18" s="29"/>
      <c r="D18" s="29"/>
      <c r="E18" s="29"/>
      <c r="F18" s="31"/>
    </row>
    <row r="19" spans="1:6" ht="19.5" customHeight="1">
      <c r="A19" s="29" t="s">
        <v>60</v>
      </c>
      <c r="B19" s="29" t="s">
        <v>167</v>
      </c>
      <c r="C19" s="29" t="s">
        <v>156</v>
      </c>
      <c r="D19" s="29">
        <v>9</v>
      </c>
      <c r="E19" s="29"/>
      <c r="F19" s="31">
        <f>(F9+F16+F17+F18)*D19/100</f>
        <v>10.037807388</v>
      </c>
    </row>
    <row r="20" spans="1:6" ht="19.5" customHeight="1" hidden="1">
      <c r="A20" s="29"/>
      <c r="B20" s="29"/>
      <c r="C20" s="29"/>
      <c r="D20" s="29"/>
      <c r="E20" s="29"/>
      <c r="F20" s="31"/>
    </row>
    <row r="21" spans="1:6" ht="19.5" customHeight="1" hidden="1">
      <c r="A21" s="29"/>
      <c r="B21" s="29"/>
      <c r="C21" s="29"/>
      <c r="D21" s="29"/>
      <c r="E21" s="29"/>
      <c r="F21" s="31"/>
    </row>
    <row r="22" spans="1:6" ht="19.5" customHeight="1" hidden="1">
      <c r="A22" s="29"/>
      <c r="B22" s="29"/>
      <c r="C22" s="29"/>
      <c r="D22" s="29"/>
      <c r="E22" s="29"/>
      <c r="F22" s="31"/>
    </row>
    <row r="23" spans="1:6" ht="19.5" customHeight="1" hidden="1">
      <c r="A23" s="29"/>
      <c r="B23" s="29"/>
      <c r="C23" s="29"/>
      <c r="D23" s="29"/>
      <c r="E23" s="29"/>
      <c r="F23" s="31"/>
    </row>
    <row r="24" spans="1:6" ht="19.5" customHeight="1">
      <c r="A24" s="29"/>
      <c r="B24" s="31" t="s">
        <v>276</v>
      </c>
      <c r="C24" s="29"/>
      <c r="D24" s="29"/>
      <c r="E24" s="29"/>
      <c r="F24" s="31">
        <f>F9+F16+F17+F18+F19</f>
        <v>121.569000588</v>
      </c>
    </row>
    <row r="25" spans="1:6" ht="19.5" customHeight="1" hidden="1">
      <c r="A25" s="29"/>
      <c r="B25" s="31" t="s">
        <v>275</v>
      </c>
      <c r="C25" s="29"/>
      <c r="D25" s="29"/>
      <c r="E25" s="29"/>
      <c r="F25" s="31">
        <f>F24/100</f>
        <v>1.21569000588</v>
      </c>
    </row>
    <row r="26" spans="1:6" ht="19.5" customHeight="1" hidden="1">
      <c r="A26" s="29"/>
      <c r="B26" s="31"/>
      <c r="C26" s="29"/>
      <c r="D26" s="29"/>
      <c r="E26" s="29"/>
      <c r="F26" s="31"/>
    </row>
    <row r="27" spans="1:6" ht="19.5" customHeight="1" hidden="1">
      <c r="A27" s="29"/>
      <c r="B27" s="31"/>
      <c r="C27" s="29"/>
      <c r="D27" s="29"/>
      <c r="E27" s="29"/>
      <c r="F27" s="31"/>
    </row>
    <row r="28" spans="1:6" ht="19.5" customHeight="1" hidden="1">
      <c r="A28" s="29"/>
      <c r="B28" s="31"/>
      <c r="C28" s="29"/>
      <c r="D28" s="29"/>
      <c r="E28" s="29"/>
      <c r="F28" s="31"/>
    </row>
    <row r="29" spans="1:6" ht="19.5" customHeight="1" hidden="1">
      <c r="A29" s="29"/>
      <c r="B29" s="31"/>
      <c r="C29" s="29"/>
      <c r="D29" s="29"/>
      <c r="E29" s="29"/>
      <c r="F29" s="31"/>
    </row>
    <row r="30" spans="1:6" ht="19.5" customHeight="1" hidden="1">
      <c r="A30" s="29"/>
      <c r="B30" s="31"/>
      <c r="C30" s="29"/>
      <c r="D30" s="29"/>
      <c r="E30" s="29"/>
      <c r="F30" s="31"/>
    </row>
    <row r="31" spans="1:6" ht="19.5" customHeight="1" hidden="1">
      <c r="A31" s="29"/>
      <c r="B31" s="36"/>
      <c r="C31" s="36"/>
      <c r="D31" s="36"/>
      <c r="E31" s="36"/>
      <c r="F31" s="37"/>
    </row>
    <row r="32" ht="19.5" customHeight="1" hidden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">
    <mergeCell ref="A1:F1"/>
    <mergeCell ref="A5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workbookViewId="0" topLeftCell="A28">
      <selection activeCell="C45" sqref="C45"/>
    </sheetView>
  </sheetViews>
  <sheetFormatPr defaultColWidth="8.75390625" defaultRowHeight="14.25"/>
  <cols>
    <col min="1" max="1" width="7.7539062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326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461" t="s">
        <v>327</v>
      </c>
      <c r="B3" s="461"/>
      <c r="C3" s="461"/>
      <c r="D3" s="461"/>
      <c r="E3" s="461"/>
      <c r="F3" s="461"/>
    </row>
    <row r="4" spans="1:6" ht="21" customHeight="1">
      <c r="A4" s="462" t="s">
        <v>299</v>
      </c>
      <c r="B4" s="462"/>
      <c r="C4" s="462"/>
      <c r="D4" s="462"/>
      <c r="E4" s="295"/>
      <c r="F4" s="296"/>
    </row>
    <row r="5" spans="1:6" ht="16.5" customHeight="1">
      <c r="A5" s="463" t="s">
        <v>328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F10+F35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F11+F16+F25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21368.85806</v>
      </c>
    </row>
    <row r="12" spans="1:6" ht="19.5" customHeight="1">
      <c r="A12" s="227"/>
      <c r="B12" s="227" t="s">
        <v>262</v>
      </c>
      <c r="C12" s="227" t="s">
        <v>291</v>
      </c>
      <c r="D12" s="227">
        <f>85.8*0.8+78.2*0.2</f>
        <v>84.28</v>
      </c>
      <c r="E12" s="228">
        <f>SUM('人工'!E5)</f>
        <v>11.98</v>
      </c>
      <c r="F12" s="229">
        <f>D12*E12</f>
        <v>1009.6744000000001</v>
      </c>
    </row>
    <row r="13" spans="1:6" ht="19.5" customHeight="1">
      <c r="A13" s="227"/>
      <c r="B13" s="227" t="s">
        <v>264</v>
      </c>
      <c r="C13" s="227" t="s">
        <v>291</v>
      </c>
      <c r="D13" s="228">
        <f>278.9*0.77</f>
        <v>214.753</v>
      </c>
      <c r="E13" s="228">
        <f>SUM('人工'!E6)</f>
        <v>11.09</v>
      </c>
      <c r="F13" s="229">
        <f>D13*E13</f>
        <v>2381.61077</v>
      </c>
    </row>
    <row r="14" spans="1:7" ht="19.5" customHeight="1">
      <c r="A14" s="227"/>
      <c r="B14" s="227" t="s">
        <v>265</v>
      </c>
      <c r="C14" s="227" t="s">
        <v>291</v>
      </c>
      <c r="D14" s="228">
        <f>44.5*0.95+1072.4*0.82</f>
        <v>921.643</v>
      </c>
      <c r="E14" s="228">
        <f>SUM('人工'!E7)</f>
        <v>9.33</v>
      </c>
      <c r="F14" s="229">
        <f>D14*E14</f>
        <v>8598.92919</v>
      </c>
      <c r="G14" s="225">
        <v>44.5</v>
      </c>
    </row>
    <row r="15" spans="1:7" ht="19.5" customHeight="1">
      <c r="A15" s="227"/>
      <c r="B15" s="227" t="s">
        <v>266</v>
      </c>
      <c r="C15" s="227" t="s">
        <v>291</v>
      </c>
      <c r="D15" s="228">
        <f>44.6*0.95+3833.1*0.2+707.8*0.88</f>
        <v>1431.8539999999998</v>
      </c>
      <c r="E15" s="228">
        <f>SUM('人工'!E8)</f>
        <v>6.55</v>
      </c>
      <c r="F15" s="229">
        <f>D15*E15</f>
        <v>9378.643699999999</v>
      </c>
      <c r="G15" s="225">
        <v>44.6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SUM(F17:F24)</f>
        <v>#REF!</v>
      </c>
    </row>
    <row r="17" spans="1:6" ht="19.5" customHeight="1">
      <c r="A17" s="227"/>
      <c r="B17" s="227" t="s">
        <v>301</v>
      </c>
      <c r="C17" s="227" t="s">
        <v>302</v>
      </c>
      <c r="D17" s="228">
        <f>24.29*0.2</f>
        <v>4.8580000000000005</v>
      </c>
      <c r="E17" s="228">
        <v>80</v>
      </c>
      <c r="F17" s="228">
        <f aca="true" t="shared" si="0" ref="F17:F23">D17*E17</f>
        <v>388.64000000000004</v>
      </c>
    </row>
    <row r="18" spans="1:7" ht="19.5" customHeight="1">
      <c r="A18" s="227"/>
      <c r="B18" s="227" t="s">
        <v>329</v>
      </c>
      <c r="C18" s="227" t="s">
        <v>330</v>
      </c>
      <c r="D18" s="228">
        <f>12*0.95+12</f>
        <v>23.4</v>
      </c>
      <c r="E18" s="228">
        <v>4.5</v>
      </c>
      <c r="F18" s="228">
        <f t="shared" si="0"/>
        <v>105.3</v>
      </c>
      <c r="G18" s="297">
        <v>0.03</v>
      </c>
    </row>
    <row r="19" spans="1:6" ht="19.5" customHeight="1">
      <c r="A19" s="227"/>
      <c r="B19" s="227" t="s">
        <v>303</v>
      </c>
      <c r="C19" s="227" t="s">
        <v>283</v>
      </c>
      <c r="D19" s="228">
        <f>44.48*0.2</f>
        <v>8.895999999999999</v>
      </c>
      <c r="E19" s="228">
        <v>4.6</v>
      </c>
      <c r="F19" s="228">
        <f t="shared" si="0"/>
        <v>40.92159999999999</v>
      </c>
    </row>
    <row r="20" spans="1:6" ht="19.5" customHeight="1">
      <c r="A20" s="227"/>
      <c r="B20" s="227" t="s">
        <v>331</v>
      </c>
      <c r="C20" s="227" t="s">
        <v>283</v>
      </c>
      <c r="D20" s="228">
        <v>69</v>
      </c>
      <c r="E20" s="228">
        <v>5.5</v>
      </c>
      <c r="F20" s="228">
        <f t="shared" si="0"/>
        <v>379.5</v>
      </c>
    </row>
    <row r="21" spans="1:6" ht="19.5" customHeight="1">
      <c r="A21" s="227"/>
      <c r="B21" s="233" t="s">
        <v>304</v>
      </c>
      <c r="C21" s="222" t="s">
        <v>196</v>
      </c>
      <c r="D21" s="228">
        <v>98</v>
      </c>
      <c r="E21" s="228" t="e">
        <f>SUM(#REF!)</f>
        <v>#REF!</v>
      </c>
      <c r="F21" s="228" t="e">
        <f t="shared" si="0"/>
        <v>#REF!</v>
      </c>
    </row>
    <row r="22" spans="1:6" ht="19.5" customHeight="1">
      <c r="A22" s="227"/>
      <c r="B22" s="227" t="s">
        <v>278</v>
      </c>
      <c r="C22" s="222" t="s">
        <v>196</v>
      </c>
      <c r="D22" s="228">
        <f>25.26*0.2+220</f>
        <v>225.052</v>
      </c>
      <c r="E22" s="228" t="e">
        <f>SUM(#REF!)</f>
        <v>#REF!</v>
      </c>
      <c r="F22" s="228" t="e">
        <f t="shared" si="0"/>
        <v>#REF!</v>
      </c>
    </row>
    <row r="23" spans="1:7" ht="19.5" customHeight="1">
      <c r="A23" s="227"/>
      <c r="B23" s="227" t="s">
        <v>332</v>
      </c>
      <c r="C23" s="222" t="s">
        <v>196</v>
      </c>
      <c r="D23" s="228">
        <f>0.1*0.95</f>
        <v>0.095</v>
      </c>
      <c r="E23" s="228" t="e">
        <f>SUM(#REF!)</f>
        <v>#REF!</v>
      </c>
      <c r="F23" s="228" t="e">
        <f t="shared" si="0"/>
        <v>#REF!</v>
      </c>
      <c r="G23" s="297">
        <v>0.03</v>
      </c>
    </row>
    <row r="24" spans="1:6" ht="19.5" customHeight="1">
      <c r="A24" s="227"/>
      <c r="B24" s="227" t="s">
        <v>293</v>
      </c>
      <c r="C24" s="227" t="s">
        <v>156</v>
      </c>
      <c r="D24" s="230"/>
      <c r="E24" s="232"/>
      <c r="F24" s="228" t="e">
        <f>(F23+12*0.95*E18)*0.03+(F17+F19+25.26*0.2*E22)*0.05+(F20+12*E18+F21+220*E22)*0.01</f>
        <v>#REF!</v>
      </c>
    </row>
    <row r="25" spans="1:6" ht="19.5" customHeight="1">
      <c r="A25" s="227">
        <v>3</v>
      </c>
      <c r="B25" s="234" t="s">
        <v>164</v>
      </c>
      <c r="C25" s="222"/>
      <c r="D25" s="231"/>
      <c r="E25" s="232"/>
      <c r="F25" s="228" t="e">
        <f>SUM(F26:F34)</f>
        <v>#REF!</v>
      </c>
    </row>
    <row r="26" spans="1:6" ht="19.5" customHeight="1">
      <c r="A26" s="227"/>
      <c r="B26" s="227" t="s">
        <v>305</v>
      </c>
      <c r="C26" s="234" t="s">
        <v>179</v>
      </c>
      <c r="D26" s="228">
        <f>145.83*0.2</f>
        <v>29.166000000000004</v>
      </c>
      <c r="E26" s="228" t="e">
        <f>SUM('台时-1'!C18)</f>
        <v>#REF!</v>
      </c>
      <c r="F26" s="228" t="e">
        <f aca="true" t="shared" si="1" ref="F26:F33">D26*E26</f>
        <v>#REF!</v>
      </c>
    </row>
    <row r="27" spans="1:6" ht="19.5" customHeight="1">
      <c r="A27" s="227"/>
      <c r="B27" s="227" t="s">
        <v>306</v>
      </c>
      <c r="C27" s="234" t="s">
        <v>179</v>
      </c>
      <c r="D27" s="228">
        <f>36.46*0.2</f>
        <v>7.292000000000001</v>
      </c>
      <c r="E27" s="228" t="e">
        <f>SUM('台时-1'!C19)</f>
        <v>#REF!</v>
      </c>
      <c r="F27" s="228" t="e">
        <f t="shared" si="1"/>
        <v>#REF!</v>
      </c>
    </row>
    <row r="28" spans="1:6" ht="19.5" customHeight="1">
      <c r="A28" s="227"/>
      <c r="B28" s="227" t="s">
        <v>333</v>
      </c>
      <c r="C28" s="234" t="s">
        <v>179</v>
      </c>
      <c r="D28" s="228">
        <v>22.68</v>
      </c>
      <c r="E28" s="228" t="e">
        <f>SUM('台时-2'!C9)</f>
        <v>#REF!</v>
      </c>
      <c r="F28" s="228" t="e">
        <f t="shared" si="1"/>
        <v>#REF!</v>
      </c>
    </row>
    <row r="29" spans="1:6" ht="19.5" customHeight="1">
      <c r="A29" s="227"/>
      <c r="B29" s="234" t="s">
        <v>295</v>
      </c>
      <c r="C29" s="234" t="s">
        <v>179</v>
      </c>
      <c r="D29" s="228">
        <v>17.35</v>
      </c>
      <c r="E29" s="228" t="e">
        <f>SUM('台时-1'!C27)</f>
        <v>#REF!</v>
      </c>
      <c r="F29" s="228" t="e">
        <f t="shared" si="1"/>
        <v>#REF!</v>
      </c>
    </row>
    <row r="30" spans="1:6" ht="19.5" customHeight="1">
      <c r="A30" s="227"/>
      <c r="B30" s="234" t="s">
        <v>227</v>
      </c>
      <c r="C30" s="234" t="s">
        <v>179</v>
      </c>
      <c r="D30" s="228">
        <v>87.7</v>
      </c>
      <c r="E30" s="228">
        <f>SUM('台时-2'!C22)</f>
        <v>0.8172444588779735</v>
      </c>
      <c r="F30" s="228">
        <f t="shared" si="1"/>
        <v>71.67233904359827</v>
      </c>
    </row>
    <row r="31" spans="1:6" ht="19.5" customHeight="1">
      <c r="A31" s="227"/>
      <c r="B31" s="227" t="s">
        <v>334</v>
      </c>
      <c r="C31" s="234" t="s">
        <v>179</v>
      </c>
      <c r="D31" s="228">
        <f>13.65*0.95</f>
        <v>12.9675</v>
      </c>
      <c r="E31" s="228">
        <f>SUM('台时-3'!C12)</f>
        <v>65.8541237314281</v>
      </c>
      <c r="F31" s="228">
        <f t="shared" si="1"/>
        <v>853.9633494872938</v>
      </c>
    </row>
    <row r="32" spans="1:6" ht="19.5" customHeight="1">
      <c r="A32" s="227"/>
      <c r="B32" s="227" t="s">
        <v>335</v>
      </c>
      <c r="C32" s="234" t="s">
        <v>179</v>
      </c>
      <c r="D32" s="228">
        <f>0.98</f>
        <v>0.98</v>
      </c>
      <c r="E32" s="228">
        <f>SUM('台时-2'!C13)</f>
        <v>51.10840894698385</v>
      </c>
      <c r="F32" s="228">
        <f t="shared" si="1"/>
        <v>50.08624076804417</v>
      </c>
    </row>
    <row r="33" spans="1:6" ht="19.5" customHeight="1">
      <c r="A33" s="227"/>
      <c r="B33" s="227" t="s">
        <v>336</v>
      </c>
      <c r="C33" s="234" t="s">
        <v>179</v>
      </c>
      <c r="D33" s="228">
        <f>24.15*0.95</f>
        <v>22.9425</v>
      </c>
      <c r="E33" s="228">
        <f>SUM('台时-2'!C14)</f>
        <v>76.38074044004223</v>
      </c>
      <c r="F33" s="228">
        <f t="shared" si="1"/>
        <v>1752.3651375456689</v>
      </c>
    </row>
    <row r="34" spans="1:6" ht="19.5" customHeight="1">
      <c r="A34" s="227"/>
      <c r="B34" s="234" t="s">
        <v>310</v>
      </c>
      <c r="C34" s="227" t="s">
        <v>156</v>
      </c>
      <c r="D34" s="231"/>
      <c r="E34" s="232"/>
      <c r="F34" s="228" t="e">
        <f>(F31+F33)*0.1+(F26+F27)*0.05+(F29+F30+F32+F28)*0.07</f>
        <v>#REF!</v>
      </c>
    </row>
    <row r="35" spans="1:6" ht="19.5" customHeight="1">
      <c r="A35" s="227" t="s">
        <v>57</v>
      </c>
      <c r="B35" s="227" t="s">
        <v>165</v>
      </c>
      <c r="C35" s="227" t="s">
        <v>156</v>
      </c>
      <c r="D35" s="235">
        <v>10.5</v>
      </c>
      <c r="E35" s="235"/>
      <c r="F35" s="238" t="e">
        <f>F10*D35/100</f>
        <v>#REF!</v>
      </c>
    </row>
    <row r="36" spans="1:6" ht="19.5" customHeight="1">
      <c r="A36" s="227" t="s">
        <v>13</v>
      </c>
      <c r="B36" s="227" t="s">
        <v>166</v>
      </c>
      <c r="C36" s="227" t="s">
        <v>156</v>
      </c>
      <c r="D36" s="235">
        <v>9.5</v>
      </c>
      <c r="E36" s="235"/>
      <c r="F36" s="238" t="e">
        <f>F9*D36/100</f>
        <v>#REF!</v>
      </c>
    </row>
    <row r="37" spans="1:6" ht="19.5" customHeight="1">
      <c r="A37" s="227" t="s">
        <v>21</v>
      </c>
      <c r="B37" s="227" t="s">
        <v>296</v>
      </c>
      <c r="C37" s="227" t="s">
        <v>156</v>
      </c>
      <c r="D37" s="235">
        <v>7</v>
      </c>
      <c r="E37" s="235"/>
      <c r="F37" s="238" t="e">
        <f>(F9+F36)*D37/100</f>
        <v>#REF!</v>
      </c>
    </row>
    <row r="38" spans="1:6" ht="19.5" customHeight="1">
      <c r="A38" s="227" t="s">
        <v>60</v>
      </c>
      <c r="B38" s="227" t="s">
        <v>297</v>
      </c>
      <c r="C38" s="227"/>
      <c r="D38" s="235"/>
      <c r="E38" s="235"/>
      <c r="F38" s="238" t="e">
        <f>SUM(D21*#REF!*(#REF!-255)+D21*#REF!*(#REF!-70)+D21*#REF!*(#REF!-70)+D33*'台时-2'!J14/1000*(#REF!-2990)+(D31/'台时-3'!H12+D32*'台时-2'!H13)/1000*(#REF!-3075))</f>
        <v>#REF!</v>
      </c>
    </row>
    <row r="39" spans="1:6" ht="19.5" customHeight="1">
      <c r="A39" s="227" t="s">
        <v>62</v>
      </c>
      <c r="B39" s="227" t="s">
        <v>167</v>
      </c>
      <c r="C39" s="227" t="s">
        <v>156</v>
      </c>
      <c r="D39" s="235">
        <v>9</v>
      </c>
      <c r="E39" s="235"/>
      <c r="F39" s="238" t="e">
        <f>(F9+F36+F37+F38)*D39/100</f>
        <v>#REF!</v>
      </c>
    </row>
    <row r="40" spans="1:6" ht="19.5" customHeight="1">
      <c r="A40" s="235"/>
      <c r="B40" s="228" t="s">
        <v>276</v>
      </c>
      <c r="C40" s="235"/>
      <c r="D40" s="235"/>
      <c r="E40" s="235"/>
      <c r="F40" s="238" t="e">
        <f>F9+F36+F37+F38+F39</f>
        <v>#REF!</v>
      </c>
    </row>
    <row r="41" spans="1:6" ht="19.5" customHeight="1" hidden="1">
      <c r="A41" s="243"/>
      <c r="B41" s="228" t="s">
        <v>275</v>
      </c>
      <c r="C41" s="227"/>
      <c r="D41" s="227"/>
      <c r="E41" s="227"/>
      <c r="F41" s="228" t="e">
        <f>F40/100</f>
        <v>#REF!</v>
      </c>
    </row>
  </sheetData>
  <sheetProtection/>
  <mergeCells count="4">
    <mergeCell ref="A1:F1"/>
    <mergeCell ref="A3:F3"/>
    <mergeCell ref="A4:D4"/>
    <mergeCell ref="A5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F29"/>
  <sheetViews>
    <sheetView zoomScale="130" zoomScaleNormal="130" workbookViewId="0" topLeftCell="A12">
      <selection activeCell="E19" sqref="E19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338</v>
      </c>
      <c r="C3" s="465"/>
      <c r="D3" s="465"/>
      <c r="E3" s="29" t="s">
        <v>38</v>
      </c>
      <c r="F3" s="180" t="s">
        <v>339</v>
      </c>
    </row>
    <row r="4" spans="1:6" ht="21" customHeight="1">
      <c r="A4" s="29" t="s">
        <v>251</v>
      </c>
      <c r="B4" s="465" t="s">
        <v>340</v>
      </c>
      <c r="C4" s="465"/>
      <c r="D4" s="465"/>
      <c r="E4" s="29" t="s">
        <v>43</v>
      </c>
      <c r="F4" s="29" t="s">
        <v>341</v>
      </c>
    </row>
    <row r="5" spans="1:6" ht="19.5" customHeight="1">
      <c r="A5" s="465" t="s">
        <v>342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39" t="s">
        <v>2</v>
      </c>
      <c r="B8" s="39" t="s">
        <v>184</v>
      </c>
      <c r="C8" s="39" t="s">
        <v>274</v>
      </c>
      <c r="D8" s="39" t="s">
        <v>44</v>
      </c>
      <c r="E8" s="39" t="s">
        <v>275</v>
      </c>
      <c r="F8" s="3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 t="e">
        <f>F10+F18</f>
        <v>#REF!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 t="e">
        <f>F11+F14+F16</f>
        <v>#REF!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 t="e">
        <f>SUM(F12:F13)</f>
        <v>#REF!</v>
      </c>
    </row>
    <row r="12" spans="1:6" ht="19.5" customHeight="1">
      <c r="A12" s="29"/>
      <c r="B12" s="29" t="s">
        <v>262</v>
      </c>
      <c r="C12" s="29" t="s">
        <v>291</v>
      </c>
      <c r="D12" s="244">
        <f>4.6*1.03</f>
        <v>4.7379999999999995</v>
      </c>
      <c r="E12" s="31" t="e">
        <f>#REF!</f>
        <v>#REF!</v>
      </c>
      <c r="F12" s="31" t="e">
        <f>D12*E12</f>
        <v>#REF!</v>
      </c>
    </row>
    <row r="13" spans="1:6" ht="19.5" customHeight="1">
      <c r="A13" s="29"/>
      <c r="B13" s="29" t="s">
        <v>266</v>
      </c>
      <c r="C13" s="29" t="s">
        <v>291</v>
      </c>
      <c r="D13" s="33">
        <f>226.4*1.03</f>
        <v>233.192</v>
      </c>
      <c r="E13" s="31">
        <f>'初级工'!G20</f>
        <v>6.55</v>
      </c>
      <c r="F13" s="31">
        <f>D13*E13</f>
        <v>1527.4076</v>
      </c>
    </row>
    <row r="14" spans="1:6" ht="19.5" customHeight="1">
      <c r="A14" s="29">
        <v>2</v>
      </c>
      <c r="B14" s="29" t="s">
        <v>163</v>
      </c>
      <c r="C14" s="29"/>
      <c r="D14" s="33"/>
      <c r="E14" s="31"/>
      <c r="F14" s="31" t="e">
        <f>F15</f>
        <v>#REF!</v>
      </c>
    </row>
    <row r="15" spans="1:6" ht="19.5" customHeight="1">
      <c r="A15" s="29"/>
      <c r="B15" s="29" t="s">
        <v>316</v>
      </c>
      <c r="C15" s="29" t="s">
        <v>156</v>
      </c>
      <c r="D15" s="34">
        <v>5</v>
      </c>
      <c r="E15" s="35"/>
      <c r="F15" s="31" t="e">
        <f>(F11+F16)*D15/100</f>
        <v>#REF!</v>
      </c>
    </row>
    <row r="16" spans="1:6" ht="19.5" customHeight="1">
      <c r="A16" s="29">
        <v>3</v>
      </c>
      <c r="B16" s="29" t="s">
        <v>164</v>
      </c>
      <c r="C16" s="29"/>
      <c r="D16" s="34"/>
      <c r="E16" s="31"/>
      <c r="F16" s="31" t="e">
        <f>SUM(F17:F17)</f>
        <v>#REF!</v>
      </c>
    </row>
    <row r="17" spans="1:6" ht="19.5" customHeight="1">
      <c r="A17" s="29"/>
      <c r="B17" s="29" t="s">
        <v>217</v>
      </c>
      <c r="C17" s="29" t="s">
        <v>179</v>
      </c>
      <c r="D17" s="31">
        <f>14.4*1.03</f>
        <v>14.832</v>
      </c>
      <c r="E17" s="31" t="e">
        <f>'台时-1'!C17</f>
        <v>#REF!</v>
      </c>
      <c r="F17" s="31" t="e">
        <f>D17*E17</f>
        <v>#REF!</v>
      </c>
    </row>
    <row r="18" spans="1:6" ht="19.5" customHeight="1">
      <c r="A18" s="29" t="s">
        <v>57</v>
      </c>
      <c r="B18" s="29" t="s">
        <v>165</v>
      </c>
      <c r="C18" s="29" t="s">
        <v>156</v>
      </c>
      <c r="D18" s="29">
        <v>10</v>
      </c>
      <c r="E18" s="29"/>
      <c r="F18" s="31" t="e">
        <f>F10*D18/100</f>
        <v>#REF!</v>
      </c>
    </row>
    <row r="19" spans="1:6" ht="19.5" customHeight="1">
      <c r="A19" s="29" t="s">
        <v>13</v>
      </c>
      <c r="B19" s="29" t="s">
        <v>166</v>
      </c>
      <c r="C19" s="29" t="s">
        <v>156</v>
      </c>
      <c r="D19" s="29">
        <v>8.5</v>
      </c>
      <c r="E19" s="29"/>
      <c r="F19" s="31" t="e">
        <f>F9*D19/100</f>
        <v>#REF!</v>
      </c>
    </row>
    <row r="20" spans="1:6" ht="19.5" customHeight="1">
      <c r="A20" s="29" t="s">
        <v>21</v>
      </c>
      <c r="B20" s="29" t="s">
        <v>296</v>
      </c>
      <c r="C20" s="29" t="s">
        <v>156</v>
      </c>
      <c r="D20" s="29">
        <v>7</v>
      </c>
      <c r="E20" s="29"/>
      <c r="F20" s="31" t="e">
        <f>(F9+F19)*D20/100</f>
        <v>#REF!</v>
      </c>
    </row>
    <row r="21" spans="1:6" ht="19.5" customHeight="1">
      <c r="A21" s="29" t="s">
        <v>60</v>
      </c>
      <c r="B21" s="29" t="s">
        <v>297</v>
      </c>
      <c r="C21" s="29"/>
      <c r="D21" s="29"/>
      <c r="E21" s="29"/>
      <c r="F21" s="31"/>
    </row>
    <row r="22" spans="1:6" ht="19.5" customHeight="1">
      <c r="A22" s="29" t="s">
        <v>62</v>
      </c>
      <c r="B22" s="29" t="s">
        <v>167</v>
      </c>
      <c r="C22" s="29" t="s">
        <v>156</v>
      </c>
      <c r="D22" s="29">
        <v>9</v>
      </c>
      <c r="E22" s="29"/>
      <c r="F22" s="31" t="e">
        <f>(F9+F19+F20+F21)*D22/100</f>
        <v>#REF!</v>
      </c>
    </row>
    <row r="23" spans="1:6" ht="19.5" customHeight="1" hidden="1">
      <c r="A23" s="29"/>
      <c r="B23" s="29"/>
      <c r="C23" s="44"/>
      <c r="D23" s="44"/>
      <c r="E23" s="29"/>
      <c r="F23" s="31"/>
    </row>
    <row r="24" spans="1:6" ht="19.5" customHeight="1" hidden="1">
      <c r="A24" s="29"/>
      <c r="B24" s="29"/>
      <c r="C24" s="29"/>
      <c r="D24" s="29"/>
      <c r="E24" s="29"/>
      <c r="F24" s="31"/>
    </row>
    <row r="25" spans="1:6" ht="19.5" customHeight="1">
      <c r="A25" s="29"/>
      <c r="B25" s="31" t="s">
        <v>276</v>
      </c>
      <c r="C25" s="29"/>
      <c r="D25" s="29"/>
      <c r="E25" s="29"/>
      <c r="F25" s="31" t="e">
        <f>F9+F19+F20+F21+F22</f>
        <v>#REF!</v>
      </c>
    </row>
    <row r="26" spans="1:6" ht="19.5" customHeight="1" hidden="1">
      <c r="A26" s="29"/>
      <c r="B26" s="31" t="s">
        <v>275</v>
      </c>
      <c r="C26" s="29"/>
      <c r="D26" s="29"/>
      <c r="E26" s="29"/>
      <c r="F26" s="31" t="e">
        <f>F25/100</f>
        <v>#REF!</v>
      </c>
    </row>
    <row r="27" spans="1:6" ht="19.5" customHeight="1">
      <c r="A27" s="29"/>
      <c r="B27" s="29"/>
      <c r="C27" s="29"/>
      <c r="D27" s="29"/>
      <c r="E27" s="29"/>
      <c r="F27" s="31"/>
    </row>
    <row r="28" spans="1:6" ht="19.5" customHeight="1">
      <c r="A28" s="29"/>
      <c r="B28" s="29"/>
      <c r="C28" s="29"/>
      <c r="D28" s="29"/>
      <c r="E28" s="29"/>
      <c r="F28" s="31"/>
    </row>
    <row r="29" spans="1:6" ht="19.5" customHeight="1">
      <c r="A29" s="39"/>
      <c r="B29" s="40"/>
      <c r="C29" s="40"/>
      <c r="D29" s="40"/>
      <c r="E29" s="40"/>
      <c r="F29" s="41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4">
    <mergeCell ref="A1:F1"/>
    <mergeCell ref="B3:D3"/>
    <mergeCell ref="B4:D4"/>
    <mergeCell ref="A5:F7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  <headerFooter alignWithMargins="0">
    <oddFooter>&amp;C&amp;"Times New Roman,常规"-&amp;P--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F38"/>
  <sheetViews>
    <sheetView workbookViewId="0" topLeftCell="A1">
      <selection activeCell="B37" sqref="B37"/>
    </sheetView>
  </sheetViews>
  <sheetFormatPr defaultColWidth="8.625" defaultRowHeight="14.25"/>
  <cols>
    <col min="1" max="1" width="7.25390625" style="27" customWidth="1"/>
    <col min="2" max="2" width="21.25390625" style="27" customWidth="1"/>
    <col min="3" max="3" width="9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6.25" customHeight="1">
      <c r="A1" s="444" t="s">
        <v>269</v>
      </c>
      <c r="B1" s="444"/>
      <c r="C1" s="444"/>
      <c r="D1" s="444"/>
      <c r="E1" s="444"/>
      <c r="F1" s="444"/>
    </row>
    <row r="2" spans="1:6" ht="26.25" customHeight="1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168</v>
      </c>
      <c r="C3" s="465"/>
      <c r="D3" s="465"/>
      <c r="E3" s="29" t="s">
        <v>38</v>
      </c>
      <c r="F3" s="180" t="s">
        <v>343</v>
      </c>
    </row>
    <row r="4" spans="1:6" ht="21" customHeight="1">
      <c r="A4" s="29" t="s">
        <v>251</v>
      </c>
      <c r="B4" s="465" t="s">
        <v>344</v>
      </c>
      <c r="C4" s="465"/>
      <c r="D4" s="465"/>
      <c r="E4" s="29" t="s">
        <v>43</v>
      </c>
      <c r="F4" s="29" t="s">
        <v>345</v>
      </c>
    </row>
    <row r="5" spans="1:6" ht="19.5" customHeight="1">
      <c r="A5" s="467" t="s">
        <v>346</v>
      </c>
      <c r="B5" s="468"/>
      <c r="C5" s="468"/>
      <c r="D5" s="468"/>
      <c r="E5" s="468"/>
      <c r="F5" s="468"/>
    </row>
    <row r="6" spans="1:6" ht="19.5" customHeight="1">
      <c r="A6" s="468"/>
      <c r="B6" s="468"/>
      <c r="C6" s="468"/>
      <c r="D6" s="468"/>
      <c r="E6" s="468"/>
      <c r="F6" s="468"/>
    </row>
    <row r="7" spans="1:6" ht="13.5" customHeight="1">
      <c r="A7" s="468"/>
      <c r="B7" s="468"/>
      <c r="C7" s="468"/>
      <c r="D7" s="468"/>
      <c r="E7" s="468"/>
      <c r="F7" s="468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 t="e">
        <f>F10+F26</f>
        <v>#REF!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 t="e">
        <f>F11+F14+F16</f>
        <v>#REF!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SUM(F12:F13)</f>
        <v>198.59600000000003</v>
      </c>
    </row>
    <row r="12" spans="1:6" ht="19.5" customHeight="1" hidden="1">
      <c r="A12" s="29"/>
      <c r="B12" s="29" t="s">
        <v>347</v>
      </c>
      <c r="C12" s="29" t="s">
        <v>291</v>
      </c>
      <c r="D12" s="29"/>
      <c r="E12" s="31">
        <f>'格宾石笼'!E12</f>
        <v>11.98</v>
      </c>
      <c r="F12" s="31">
        <f>D12*E12</f>
        <v>0</v>
      </c>
    </row>
    <row r="13" spans="1:6" ht="19.5" customHeight="1">
      <c r="A13" s="29"/>
      <c r="B13" s="29" t="s">
        <v>266</v>
      </c>
      <c r="C13" s="29" t="s">
        <v>291</v>
      </c>
      <c r="D13" s="31">
        <f>7*1.18+21.8+1.3*0.2</f>
        <v>30.320000000000004</v>
      </c>
      <c r="E13" s="31">
        <f>'初级工'!G20</f>
        <v>6.55</v>
      </c>
      <c r="F13" s="31">
        <f>D13*E13</f>
        <v>198.59600000000003</v>
      </c>
    </row>
    <row r="14" spans="1:6" ht="19.5" customHeight="1">
      <c r="A14" s="29">
        <v>2</v>
      </c>
      <c r="B14" s="29" t="s">
        <v>163</v>
      </c>
      <c r="C14" s="29"/>
      <c r="D14" s="33"/>
      <c r="E14" s="31"/>
      <c r="F14" s="31" t="e">
        <f>F15</f>
        <v>#REF!</v>
      </c>
    </row>
    <row r="15" spans="1:6" ht="19.5" customHeight="1">
      <c r="A15" s="29"/>
      <c r="B15" s="29" t="s">
        <v>316</v>
      </c>
      <c r="C15" s="29" t="s">
        <v>156</v>
      </c>
      <c r="D15" s="34"/>
      <c r="E15" s="35"/>
      <c r="F15" s="31" t="e">
        <f>SUM(7*1.18*E13+F17+F18+F19)*4/100+SUM(21.8*E13+1.3*0.2*E13+F20+F21+F22+F23+F24+F25)*10/100</f>
        <v>#REF!</v>
      </c>
    </row>
    <row r="16" spans="1:6" ht="19.5" customHeight="1">
      <c r="A16" s="29">
        <v>3</v>
      </c>
      <c r="B16" s="29" t="s">
        <v>164</v>
      </c>
      <c r="C16" s="29"/>
      <c r="D16" s="34"/>
      <c r="E16" s="31"/>
      <c r="F16" s="31" t="e">
        <f>SUM(F17:F25)</f>
        <v>#REF!</v>
      </c>
    </row>
    <row r="17" spans="1:6" ht="19.5" customHeight="1">
      <c r="A17" s="29"/>
      <c r="B17" s="29" t="s">
        <v>348</v>
      </c>
      <c r="C17" s="29" t="s">
        <v>179</v>
      </c>
      <c r="D17" s="31">
        <f>1.04*1.18</f>
        <v>1.2272</v>
      </c>
      <c r="E17" s="31">
        <f>SUM('台时-1'!C5)</f>
        <v>126.81077161646505</v>
      </c>
      <c r="F17" s="31">
        <f aca="true" t="shared" si="0" ref="F17:F24">D17*E17</f>
        <v>155.6221789277259</v>
      </c>
    </row>
    <row r="18" spans="1:6" ht="19.5" customHeight="1">
      <c r="A18" s="29"/>
      <c r="B18" s="29" t="s">
        <v>349</v>
      </c>
      <c r="C18" s="29" t="s">
        <v>179</v>
      </c>
      <c r="D18" s="31">
        <f>0.52*1.18</f>
        <v>0.6136</v>
      </c>
      <c r="E18" s="31">
        <f>SUM('台时-1'!C9)</f>
        <v>69.50047625233417</v>
      </c>
      <c r="F18" s="31">
        <f t="shared" si="0"/>
        <v>42.645492228432246</v>
      </c>
    </row>
    <row r="19" spans="1:6" ht="19.5" customHeight="1">
      <c r="A19" s="29"/>
      <c r="B19" s="29" t="s">
        <v>350</v>
      </c>
      <c r="C19" s="29" t="s">
        <v>179</v>
      </c>
      <c r="D19" s="31">
        <f>6.29*1.18</f>
        <v>7.422199999999999</v>
      </c>
      <c r="E19" s="31">
        <f>SUM('台时-2'!C18)</f>
        <v>88.19229171064383</v>
      </c>
      <c r="F19" s="31">
        <f t="shared" si="0"/>
        <v>654.5808275347406</v>
      </c>
    </row>
    <row r="20" spans="1:6" ht="19.5" customHeight="1">
      <c r="A20" s="29"/>
      <c r="B20" s="29" t="s">
        <v>351</v>
      </c>
      <c r="C20" s="29" t="s">
        <v>179</v>
      </c>
      <c r="D20" s="31">
        <f>0.98*0.2</f>
        <v>0.196</v>
      </c>
      <c r="E20" s="31">
        <f>SUM('台时-1'!C12)</f>
        <v>129.76514151173177</v>
      </c>
      <c r="F20" s="31">
        <f t="shared" si="0"/>
        <v>25.43396773629943</v>
      </c>
    </row>
    <row r="21" spans="1:6" ht="19.5" customHeight="1">
      <c r="A21" s="29"/>
      <c r="B21" s="29" t="s">
        <v>352</v>
      </c>
      <c r="C21" s="29" t="s">
        <v>179</v>
      </c>
      <c r="D21" s="31">
        <v>2.06</v>
      </c>
      <c r="E21" s="31">
        <f>SUM('台时-1'!C15)</f>
        <v>71.51318998132663</v>
      </c>
      <c r="F21" s="31">
        <f t="shared" si="0"/>
        <v>147.31717136153287</v>
      </c>
    </row>
    <row r="22" spans="1:6" ht="19.5" customHeight="1">
      <c r="A22" s="29"/>
      <c r="B22" s="29" t="s">
        <v>353</v>
      </c>
      <c r="C22" s="29" t="s">
        <v>179</v>
      </c>
      <c r="D22" s="31">
        <v>0.55</v>
      </c>
      <c r="E22" s="31">
        <f>SUM('台时-1'!C10)</f>
        <v>92.68676479662255</v>
      </c>
      <c r="F22" s="31">
        <f t="shared" si="0"/>
        <v>50.97772063814241</v>
      </c>
    </row>
    <row r="23" spans="1:6" ht="19.5" customHeight="1">
      <c r="A23" s="29"/>
      <c r="B23" s="29" t="s">
        <v>217</v>
      </c>
      <c r="C23" s="29" t="s">
        <v>179</v>
      </c>
      <c r="D23" s="31">
        <v>1.09</v>
      </c>
      <c r="E23" s="31" t="e">
        <f>SUM('台时-1'!C17)</f>
        <v>#REF!</v>
      </c>
      <c r="F23" s="31" t="e">
        <f t="shared" si="0"/>
        <v>#REF!</v>
      </c>
    </row>
    <row r="24" spans="1:6" ht="19.5" customHeight="1">
      <c r="A24" s="29"/>
      <c r="B24" s="29" t="s">
        <v>216</v>
      </c>
      <c r="C24" s="29" t="s">
        <v>179</v>
      </c>
      <c r="D24" s="31">
        <v>0.55</v>
      </c>
      <c r="E24" s="31">
        <f>SUM('台时-4'!C18)</f>
        <v>54.38068896646911</v>
      </c>
      <c r="F24" s="31">
        <f t="shared" si="0"/>
        <v>29.909378931558013</v>
      </c>
    </row>
    <row r="25" spans="1:6" ht="19.5" customHeight="1">
      <c r="A25" s="29"/>
      <c r="B25" s="29" t="s">
        <v>318</v>
      </c>
      <c r="C25" s="29" t="s">
        <v>156</v>
      </c>
      <c r="D25" s="31">
        <v>1</v>
      </c>
      <c r="E25" s="31" t="e">
        <f>SUM(F21:F24)</f>
        <v>#REF!</v>
      </c>
      <c r="F25" s="31" t="e">
        <f>D25*E25/100</f>
        <v>#REF!</v>
      </c>
    </row>
    <row r="26" spans="1:6" ht="19.5" customHeight="1">
      <c r="A26" s="29" t="s">
        <v>57</v>
      </c>
      <c r="B26" s="29" t="s">
        <v>165</v>
      </c>
      <c r="C26" s="29" t="s">
        <v>156</v>
      </c>
      <c r="D26" s="29">
        <v>7.6</v>
      </c>
      <c r="E26" s="29"/>
      <c r="F26" s="31" t="e">
        <f>F10*D26/100</f>
        <v>#REF!</v>
      </c>
    </row>
    <row r="27" spans="1:6" ht="19.5" customHeight="1">
      <c r="A27" s="29" t="s">
        <v>13</v>
      </c>
      <c r="B27" s="29" t="s">
        <v>166</v>
      </c>
      <c r="C27" s="29" t="s">
        <v>156</v>
      </c>
      <c r="D27" s="29">
        <v>5</v>
      </c>
      <c r="E27" s="29"/>
      <c r="F27" s="31" t="e">
        <f>F9*D27/100</f>
        <v>#REF!</v>
      </c>
    </row>
    <row r="28" spans="1:6" ht="19.5" customHeight="1">
      <c r="A28" s="29" t="s">
        <v>21</v>
      </c>
      <c r="B28" s="29" t="s">
        <v>296</v>
      </c>
      <c r="C28" s="29" t="s">
        <v>156</v>
      </c>
      <c r="D28" s="29">
        <v>7</v>
      </c>
      <c r="E28" s="29"/>
      <c r="F28" s="31" t="e">
        <f>(F9+F27)*D28/100</f>
        <v>#REF!</v>
      </c>
    </row>
    <row r="29" spans="1:6" ht="19.5" customHeight="1">
      <c r="A29" s="29" t="s">
        <v>60</v>
      </c>
      <c r="B29" s="29" t="s">
        <v>297</v>
      </c>
      <c r="C29" s="29"/>
      <c r="D29" s="29"/>
      <c r="E29" s="29"/>
      <c r="F29" s="31" t="e">
        <f>SUM(D17*'台时-1'!J5/1000*(#REF!-2990)+D18*'台时-1'!J9/1000*(#REF!-2990)+D19*'台时-2'!J18/1000*(#REF!-2990)+D20*'台时-1'!J12/1000*(#REF!-2990)+D21*'台时-1'!J15/1000*(#REF!-2990)+D22*'台时-1'!J10/1000*(#REF!-2990)+D24*'台时-4'!J18/1000*(#REF!-2990))</f>
        <v>#REF!</v>
      </c>
    </row>
    <row r="30" spans="1:6" ht="19.5" customHeight="1">
      <c r="A30" s="29" t="s">
        <v>62</v>
      </c>
      <c r="B30" s="29" t="s">
        <v>167</v>
      </c>
      <c r="C30" s="29" t="s">
        <v>156</v>
      </c>
      <c r="D30" s="29">
        <v>10</v>
      </c>
      <c r="E30" s="29"/>
      <c r="F30" s="31" t="e">
        <f>(F9+F27+F28+F29)*D30/100</f>
        <v>#REF!</v>
      </c>
    </row>
    <row r="31" spans="1:6" ht="19.5" customHeight="1" hidden="1">
      <c r="A31" s="29"/>
      <c r="B31" s="29"/>
      <c r="C31" s="29"/>
      <c r="D31" s="29"/>
      <c r="E31" s="29"/>
      <c r="F31" s="31"/>
    </row>
    <row r="32" spans="1:6" ht="19.5" customHeight="1" hidden="1">
      <c r="A32" s="29"/>
      <c r="B32" s="29"/>
      <c r="C32" s="29"/>
      <c r="D32" s="29"/>
      <c r="E32" s="29"/>
      <c r="F32" s="31"/>
    </row>
    <row r="33" spans="1:6" ht="19.5" customHeight="1" hidden="1">
      <c r="A33" s="29"/>
      <c r="B33" s="29"/>
      <c r="C33" s="29"/>
      <c r="D33" s="29"/>
      <c r="E33" s="29"/>
      <c r="F33" s="31"/>
    </row>
    <row r="34" spans="1:6" ht="19.5" customHeight="1" hidden="1">
      <c r="A34" s="29"/>
      <c r="B34" s="29"/>
      <c r="C34" s="29"/>
      <c r="D34" s="29"/>
      <c r="E34" s="29"/>
      <c r="F34" s="31"/>
    </row>
    <row r="35" spans="1:6" ht="19.5" customHeight="1">
      <c r="A35" s="29"/>
      <c r="B35" s="31" t="s">
        <v>276</v>
      </c>
      <c r="C35" s="29"/>
      <c r="D35" s="29"/>
      <c r="E35" s="29"/>
      <c r="F35" s="31" t="e">
        <f>F9+F27+F28+F29+F30</f>
        <v>#REF!</v>
      </c>
    </row>
    <row r="36" spans="1:6" ht="19.5" customHeight="1" hidden="1">
      <c r="A36" s="29"/>
      <c r="B36" s="31" t="s">
        <v>275</v>
      </c>
      <c r="C36" s="29"/>
      <c r="D36" s="29"/>
      <c r="E36" s="29"/>
      <c r="F36" s="31" t="e">
        <f>F35/100</f>
        <v>#REF!</v>
      </c>
    </row>
    <row r="37" spans="1:6" ht="19.5" customHeight="1">
      <c r="A37" s="29"/>
      <c r="B37" s="31"/>
      <c r="C37" s="29"/>
      <c r="D37" s="29"/>
      <c r="E37" s="29"/>
      <c r="F37" s="31"/>
    </row>
    <row r="38" spans="1:6" ht="19.5" customHeight="1">
      <c r="A38" s="29"/>
      <c r="B38" s="31"/>
      <c r="C38" s="29"/>
      <c r="D38" s="29"/>
      <c r="E38" s="29"/>
      <c r="F38" s="3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A1:F1"/>
    <mergeCell ref="B3:D3"/>
    <mergeCell ref="B4:D4"/>
    <mergeCell ref="A5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="175" zoomScaleNormal="175" workbookViewId="0" topLeftCell="A76">
      <selection activeCell="D80" sqref="D80"/>
    </sheetView>
  </sheetViews>
  <sheetFormatPr defaultColWidth="8.625" defaultRowHeight="19.5" customHeight="1"/>
  <cols>
    <col min="1" max="1" width="6.25390625" style="245" customWidth="1"/>
    <col min="2" max="2" width="25.25390625" style="245" customWidth="1"/>
    <col min="3" max="3" width="7.00390625" style="245" customWidth="1"/>
    <col min="4" max="4" width="10.00390625" style="245" customWidth="1"/>
    <col min="5" max="5" width="10.50390625" style="245" customWidth="1"/>
    <col min="6" max="6" width="12.625" style="245" customWidth="1"/>
    <col min="7" max="7" width="9.75390625" style="245" hidden="1" customWidth="1"/>
    <col min="8" max="8" width="12.375" style="245" hidden="1" customWidth="1"/>
    <col min="9" max="10" width="8.625" style="245" hidden="1" customWidth="1"/>
    <col min="11" max="11" width="10.125" style="245" hidden="1" customWidth="1"/>
    <col min="12" max="13" width="9.00390625" style="245" hidden="1" customWidth="1"/>
    <col min="14" max="14" width="9.00390625" style="245" customWidth="1"/>
    <col min="15" max="33" width="9.00390625" style="245" bestFit="1" customWidth="1"/>
    <col min="34" max="16384" width="8.625" style="245" customWidth="1"/>
  </cols>
  <sheetData>
    <row r="1" spans="1:6" ht="23.25" customHeight="1">
      <c r="A1" s="431" t="s">
        <v>42</v>
      </c>
      <c r="B1" s="431"/>
      <c r="C1" s="431"/>
      <c r="D1" s="431"/>
      <c r="E1" s="431"/>
      <c r="F1" s="431"/>
    </row>
    <row r="2" spans="1:5" ht="15" customHeight="1">
      <c r="A2" s="367" t="s">
        <v>852</v>
      </c>
      <c r="B2" s="367"/>
      <c r="C2" s="367"/>
      <c r="D2" s="367"/>
      <c r="E2" s="368"/>
    </row>
    <row r="3" spans="1:6" ht="37.5" customHeight="1">
      <c r="A3" s="291" t="s">
        <v>38</v>
      </c>
      <c r="B3" s="291" t="s">
        <v>3</v>
      </c>
      <c r="C3" s="291" t="s">
        <v>43</v>
      </c>
      <c r="D3" s="291" t="s">
        <v>44</v>
      </c>
      <c r="E3" s="291" t="s">
        <v>45</v>
      </c>
      <c r="F3" s="291" t="s">
        <v>46</v>
      </c>
    </row>
    <row r="4" spans="1:6" ht="15" customHeight="1">
      <c r="A4" s="332"/>
      <c r="B4" s="369" t="s">
        <v>47</v>
      </c>
      <c r="C4" s="332"/>
      <c r="D4" s="370"/>
      <c r="E4" s="321"/>
      <c r="F4" s="342"/>
    </row>
    <row r="5" spans="1:6" ht="15" customHeight="1">
      <c r="A5" s="333" t="s">
        <v>39</v>
      </c>
      <c r="B5" s="369" t="s">
        <v>40</v>
      </c>
      <c r="C5" s="332"/>
      <c r="D5" s="371"/>
      <c r="E5" s="321"/>
      <c r="F5" s="342"/>
    </row>
    <row r="6" spans="1:6" ht="15" customHeight="1">
      <c r="A6" s="333" t="s">
        <v>11</v>
      </c>
      <c r="B6" s="369" t="s">
        <v>48</v>
      </c>
      <c r="C6" s="332"/>
      <c r="D6" s="371"/>
      <c r="E6" s="321"/>
      <c r="F6" s="372"/>
    </row>
    <row r="7" spans="1:11" ht="15" customHeight="1">
      <c r="A7" s="332" t="s">
        <v>49</v>
      </c>
      <c r="B7" s="291" t="s">
        <v>50</v>
      </c>
      <c r="C7" s="332"/>
      <c r="D7" s="373"/>
      <c r="E7" s="329"/>
      <c r="F7" s="374"/>
      <c r="K7" s="385"/>
    </row>
    <row r="8" spans="1:6" ht="15" customHeight="1">
      <c r="A8" s="332">
        <v>1</v>
      </c>
      <c r="B8" s="291" t="s">
        <v>51</v>
      </c>
      <c r="C8" s="332" t="s">
        <v>52</v>
      </c>
      <c r="D8" s="373">
        <v>5460</v>
      </c>
      <c r="E8" s="329"/>
      <c r="F8" s="374"/>
    </row>
    <row r="9" spans="1:6" ht="15" customHeight="1">
      <c r="A9" s="332" t="s">
        <v>53</v>
      </c>
      <c r="B9" s="375" t="s">
        <v>54</v>
      </c>
      <c r="C9" s="376"/>
      <c r="D9" s="377"/>
      <c r="E9" s="334"/>
      <c r="F9" s="374"/>
    </row>
    <row r="10" spans="1:6" ht="15" customHeight="1">
      <c r="A10" s="332">
        <v>1</v>
      </c>
      <c r="B10" s="375" t="s">
        <v>54</v>
      </c>
      <c r="C10" s="378" t="s">
        <v>55</v>
      </c>
      <c r="D10" s="377">
        <v>1</v>
      </c>
      <c r="E10" s="334"/>
      <c r="F10" s="374"/>
    </row>
    <row r="11" spans="1:6" ht="15" customHeight="1">
      <c r="A11" s="422" t="s">
        <v>851</v>
      </c>
      <c r="B11" s="375" t="s">
        <v>848</v>
      </c>
      <c r="C11" s="378" t="s">
        <v>853</v>
      </c>
      <c r="D11" s="377">
        <v>1</v>
      </c>
      <c r="E11" s="425"/>
      <c r="F11" s="426"/>
    </row>
    <row r="12" spans="1:6" ht="15" customHeight="1">
      <c r="A12" s="333" t="s">
        <v>13</v>
      </c>
      <c r="B12" s="369" t="s">
        <v>56</v>
      </c>
      <c r="C12" s="332"/>
      <c r="D12" s="373"/>
      <c r="E12" s="329"/>
      <c r="F12" s="372"/>
    </row>
    <row r="13" spans="1:6" ht="15" customHeight="1">
      <c r="A13" s="332" t="s">
        <v>49</v>
      </c>
      <c r="B13" s="375" t="s">
        <v>54</v>
      </c>
      <c r="C13" s="376"/>
      <c r="D13" s="379"/>
      <c r="E13" s="321"/>
      <c r="F13" s="374"/>
    </row>
    <row r="14" spans="1:6" ht="15" customHeight="1">
      <c r="A14" s="332">
        <v>1</v>
      </c>
      <c r="B14" s="375" t="s">
        <v>54</v>
      </c>
      <c r="C14" s="378" t="s">
        <v>55</v>
      </c>
      <c r="D14" s="373">
        <v>1</v>
      </c>
      <c r="E14" s="329"/>
      <c r="F14" s="374"/>
    </row>
    <row r="15" spans="1:6" ht="15" customHeight="1">
      <c r="A15" s="332" t="s">
        <v>57</v>
      </c>
      <c r="B15" s="291" t="s">
        <v>50</v>
      </c>
      <c r="C15" s="332"/>
      <c r="D15" s="373"/>
      <c r="E15" s="329"/>
      <c r="F15" s="374"/>
    </row>
    <row r="16" spans="1:6" ht="15" customHeight="1">
      <c r="A16" s="332">
        <v>1</v>
      </c>
      <c r="B16" s="291" t="s">
        <v>51</v>
      </c>
      <c r="C16" s="332" t="s">
        <v>52</v>
      </c>
      <c r="D16" s="373">
        <v>4521</v>
      </c>
      <c r="E16" s="329"/>
      <c r="F16" s="374"/>
    </row>
    <row r="17" spans="1:6" ht="15" customHeight="1">
      <c r="A17" s="422" t="s">
        <v>849</v>
      </c>
      <c r="B17" s="375" t="s">
        <v>848</v>
      </c>
      <c r="C17" s="378" t="s">
        <v>853</v>
      </c>
      <c r="D17" s="377">
        <v>1</v>
      </c>
      <c r="E17" s="425"/>
      <c r="F17" s="426"/>
    </row>
    <row r="18" spans="1:6" ht="15" customHeight="1">
      <c r="A18" s="333" t="s">
        <v>21</v>
      </c>
      <c r="B18" s="369" t="s">
        <v>58</v>
      </c>
      <c r="C18" s="332"/>
      <c r="D18" s="373"/>
      <c r="E18" s="334"/>
      <c r="F18" s="342"/>
    </row>
    <row r="19" spans="1:6" ht="15" customHeight="1">
      <c r="A19" s="332" t="s">
        <v>49</v>
      </c>
      <c r="B19" s="375" t="s">
        <v>54</v>
      </c>
      <c r="C19" s="376"/>
      <c r="D19" s="379"/>
      <c r="E19" s="321"/>
      <c r="F19" s="374"/>
    </row>
    <row r="20" spans="1:6" ht="15" customHeight="1">
      <c r="A20" s="332">
        <v>1</v>
      </c>
      <c r="B20" s="375" t="s">
        <v>54</v>
      </c>
      <c r="C20" s="378" t="s">
        <v>55</v>
      </c>
      <c r="D20" s="373">
        <v>1</v>
      </c>
      <c r="E20" s="329"/>
      <c r="F20" s="374"/>
    </row>
    <row r="21" spans="1:6" ht="15" customHeight="1">
      <c r="A21" s="380" t="s">
        <v>57</v>
      </c>
      <c r="B21" s="375" t="s">
        <v>50</v>
      </c>
      <c r="C21" s="376"/>
      <c r="D21" s="377"/>
      <c r="E21" s="334"/>
      <c r="F21" s="374"/>
    </row>
    <row r="22" spans="1:6" ht="15" customHeight="1">
      <c r="A22" s="377">
        <v>1</v>
      </c>
      <c r="B22" s="291" t="s">
        <v>51</v>
      </c>
      <c r="C22" s="376" t="s">
        <v>59</v>
      </c>
      <c r="D22" s="377">
        <v>5895</v>
      </c>
      <c r="E22" s="334"/>
      <c r="F22" s="342"/>
    </row>
    <row r="23" spans="1:6" ht="15" customHeight="1">
      <c r="A23" s="380" t="s">
        <v>849</v>
      </c>
      <c r="B23" s="375" t="s">
        <v>848</v>
      </c>
      <c r="C23" s="378" t="s">
        <v>853</v>
      </c>
      <c r="D23" s="377">
        <v>1</v>
      </c>
      <c r="E23" s="425"/>
      <c r="F23" s="426"/>
    </row>
    <row r="24" spans="1:11" ht="15" customHeight="1">
      <c r="A24" s="383" t="s">
        <v>60</v>
      </c>
      <c r="B24" s="384" t="s">
        <v>61</v>
      </c>
      <c r="C24" s="376"/>
      <c r="D24" s="377"/>
      <c r="E24" s="334"/>
      <c r="F24" s="372"/>
      <c r="G24" s="385"/>
      <c r="H24" s="386"/>
      <c r="I24" s="410"/>
      <c r="J24" s="410"/>
      <c r="K24" s="411"/>
    </row>
    <row r="25" spans="1:11" ht="15" customHeight="1">
      <c r="A25" s="332" t="s">
        <v>49</v>
      </c>
      <c r="B25" s="375" t="s">
        <v>54</v>
      </c>
      <c r="C25" s="376"/>
      <c r="D25" s="379"/>
      <c r="E25" s="334"/>
      <c r="F25" s="374"/>
      <c r="G25" s="385"/>
      <c r="H25" s="387"/>
      <c r="I25" s="410"/>
      <c r="J25" s="410"/>
      <c r="K25" s="412"/>
    </row>
    <row r="26" spans="1:11" ht="15" customHeight="1">
      <c r="A26" s="332">
        <v>1</v>
      </c>
      <c r="B26" s="375" t="s">
        <v>54</v>
      </c>
      <c r="C26" s="378" t="s">
        <v>55</v>
      </c>
      <c r="D26" s="373">
        <v>1</v>
      </c>
      <c r="E26" s="334"/>
      <c r="F26" s="374"/>
      <c r="G26" s="385"/>
      <c r="I26" s="410"/>
      <c r="J26" s="410"/>
      <c r="K26" s="412"/>
    </row>
    <row r="27" spans="1:8" ht="19.5" customHeight="1">
      <c r="A27" s="380" t="s">
        <v>57</v>
      </c>
      <c r="B27" s="375" t="s">
        <v>50</v>
      </c>
      <c r="C27" s="376"/>
      <c r="D27" s="377"/>
      <c r="E27" s="336"/>
      <c r="F27" s="342"/>
      <c r="H27" s="386"/>
    </row>
    <row r="28" spans="1:6" ht="19.5" customHeight="1">
      <c r="A28" s="377">
        <v>1</v>
      </c>
      <c r="B28" s="291" t="s">
        <v>51</v>
      </c>
      <c r="C28" s="376" t="s">
        <v>59</v>
      </c>
      <c r="D28" s="377">
        <v>6990</v>
      </c>
      <c r="E28" s="334"/>
      <c r="F28" s="374"/>
    </row>
    <row r="29" spans="1:6" ht="19.5" customHeight="1">
      <c r="A29" s="423" t="s">
        <v>849</v>
      </c>
      <c r="B29" s="375" t="s">
        <v>848</v>
      </c>
      <c r="C29" s="378" t="s">
        <v>853</v>
      </c>
      <c r="D29" s="377">
        <v>1</v>
      </c>
      <c r="E29" s="425"/>
      <c r="F29" s="426"/>
    </row>
    <row r="30" spans="1:6" ht="19.5" customHeight="1">
      <c r="A30" s="388" t="s">
        <v>62</v>
      </c>
      <c r="B30" s="389" t="s">
        <v>63</v>
      </c>
      <c r="C30" s="390"/>
      <c r="D30" s="391"/>
      <c r="E30" s="334"/>
      <c r="F30" s="379"/>
    </row>
    <row r="31" spans="1:6" ht="19.5" customHeight="1">
      <c r="A31" s="332" t="s">
        <v>49</v>
      </c>
      <c r="B31" s="392" t="s">
        <v>54</v>
      </c>
      <c r="C31" s="390"/>
      <c r="D31" s="379"/>
      <c r="E31" s="334"/>
      <c r="F31" s="374"/>
    </row>
    <row r="32" spans="1:6" ht="19.5" customHeight="1">
      <c r="A32" s="332">
        <v>1</v>
      </c>
      <c r="B32" s="392" t="s">
        <v>54</v>
      </c>
      <c r="C32" s="393" t="s">
        <v>55</v>
      </c>
      <c r="D32" s="394">
        <v>1</v>
      </c>
      <c r="E32" s="395"/>
      <c r="F32" s="374"/>
    </row>
    <row r="33" spans="1:6" ht="19.5" customHeight="1">
      <c r="A33" s="396" t="s">
        <v>57</v>
      </c>
      <c r="B33" s="392" t="s">
        <v>50</v>
      </c>
      <c r="C33" s="390"/>
      <c r="D33" s="391"/>
      <c r="E33" s="336"/>
      <c r="F33" s="374"/>
    </row>
    <row r="34" spans="1:6" ht="19.5" customHeight="1">
      <c r="A34" s="391">
        <v>1</v>
      </c>
      <c r="B34" s="291" t="s">
        <v>51</v>
      </c>
      <c r="C34" s="390" t="s">
        <v>59</v>
      </c>
      <c r="D34" s="391">
        <v>7440</v>
      </c>
      <c r="E34" s="397"/>
      <c r="F34" s="374"/>
    </row>
    <row r="35" spans="1:6" ht="19.5" customHeight="1">
      <c r="A35" s="424" t="s">
        <v>849</v>
      </c>
      <c r="B35" s="375" t="s">
        <v>848</v>
      </c>
      <c r="C35" s="378" t="s">
        <v>853</v>
      </c>
      <c r="D35" s="377">
        <v>1</v>
      </c>
      <c r="E35" s="425"/>
      <c r="F35" s="426"/>
    </row>
    <row r="36" spans="1:6" ht="19.5" customHeight="1">
      <c r="A36" s="388" t="s">
        <v>64</v>
      </c>
      <c r="B36" s="389" t="s">
        <v>65</v>
      </c>
      <c r="C36" s="391"/>
      <c r="D36" s="391"/>
      <c r="E36" s="336"/>
      <c r="F36" s="413"/>
    </row>
    <row r="37" spans="1:14" ht="19.5" customHeight="1">
      <c r="A37" s="332" t="s">
        <v>49</v>
      </c>
      <c r="B37" s="392" t="s">
        <v>54</v>
      </c>
      <c r="C37" s="390"/>
      <c r="D37" s="379"/>
      <c r="E37" s="336"/>
      <c r="F37" s="374"/>
      <c r="N37" s="427"/>
    </row>
    <row r="38" spans="1:6" ht="19.5" customHeight="1">
      <c r="A38" s="332">
        <v>1</v>
      </c>
      <c r="B38" s="392" t="s">
        <v>54</v>
      </c>
      <c r="C38" s="393" t="s">
        <v>55</v>
      </c>
      <c r="D38" s="394">
        <v>1</v>
      </c>
      <c r="E38" s="395"/>
      <c r="F38" s="374"/>
    </row>
    <row r="39" spans="1:6" ht="19.5" customHeight="1">
      <c r="A39" s="396" t="s">
        <v>57</v>
      </c>
      <c r="B39" s="392" t="s">
        <v>50</v>
      </c>
      <c r="C39" s="390"/>
      <c r="D39" s="391"/>
      <c r="E39" s="336"/>
      <c r="F39" s="374"/>
    </row>
    <row r="40" spans="1:6" ht="19.5" customHeight="1">
      <c r="A40" s="391">
        <v>1</v>
      </c>
      <c r="B40" s="291" t="s">
        <v>51</v>
      </c>
      <c r="C40" s="390" t="s">
        <v>59</v>
      </c>
      <c r="D40" s="391">
        <v>10250</v>
      </c>
      <c r="E40" s="397"/>
      <c r="F40" s="374"/>
    </row>
    <row r="41" spans="1:6" ht="19.5" customHeight="1">
      <c r="A41" s="424" t="s">
        <v>849</v>
      </c>
      <c r="B41" s="375" t="s">
        <v>848</v>
      </c>
      <c r="C41" s="378" t="s">
        <v>853</v>
      </c>
      <c r="D41" s="377">
        <v>1</v>
      </c>
      <c r="E41" s="425"/>
      <c r="F41" s="426"/>
    </row>
    <row r="42" spans="1:6" ht="19.5" customHeight="1">
      <c r="A42" s="388" t="s">
        <v>66</v>
      </c>
      <c r="B42" s="389" t="s">
        <v>67</v>
      </c>
      <c r="C42" s="390"/>
      <c r="D42" s="391"/>
      <c r="E42" s="336"/>
      <c r="F42" s="413"/>
    </row>
    <row r="43" spans="1:6" ht="19.5" customHeight="1">
      <c r="A43" s="332" t="s">
        <v>49</v>
      </c>
      <c r="B43" s="392" t="s">
        <v>54</v>
      </c>
      <c r="C43" s="390"/>
      <c r="D43" s="379"/>
      <c r="E43" s="336"/>
      <c r="F43" s="374"/>
    </row>
    <row r="44" spans="1:6" ht="19.5" customHeight="1">
      <c r="A44" s="332">
        <v>1</v>
      </c>
      <c r="B44" s="392" t="s">
        <v>54</v>
      </c>
      <c r="C44" s="393" t="s">
        <v>55</v>
      </c>
      <c r="D44" s="394">
        <v>7</v>
      </c>
      <c r="E44" s="395"/>
      <c r="F44" s="374"/>
    </row>
    <row r="45" spans="1:6" ht="19.5" customHeight="1">
      <c r="A45" s="396" t="s">
        <v>57</v>
      </c>
      <c r="B45" s="392" t="s">
        <v>50</v>
      </c>
      <c r="C45" s="390"/>
      <c r="D45" s="391"/>
      <c r="E45" s="336"/>
      <c r="F45" s="374"/>
    </row>
    <row r="46" spans="1:6" ht="19.5" customHeight="1">
      <c r="A46" s="391">
        <v>1</v>
      </c>
      <c r="B46" s="291" t="s">
        <v>51</v>
      </c>
      <c r="C46" s="390" t="s">
        <v>59</v>
      </c>
      <c r="D46" s="391">
        <v>31500</v>
      </c>
      <c r="E46" s="397"/>
      <c r="F46" s="374"/>
    </row>
    <row r="47" spans="1:6" ht="19.5" customHeight="1">
      <c r="A47" s="424" t="s">
        <v>849</v>
      </c>
      <c r="B47" s="375" t="s">
        <v>848</v>
      </c>
      <c r="C47" s="378" t="s">
        <v>853</v>
      </c>
      <c r="D47" s="377">
        <v>1</v>
      </c>
      <c r="E47" s="425"/>
      <c r="F47" s="426"/>
    </row>
    <row r="48" spans="1:6" ht="19.5" customHeight="1">
      <c r="A48" s="388" t="s">
        <v>68</v>
      </c>
      <c r="B48" s="389" t="s">
        <v>69</v>
      </c>
      <c r="C48" s="391"/>
      <c r="D48" s="391"/>
      <c r="E48" s="336"/>
      <c r="F48" s="413"/>
    </row>
    <row r="49" spans="1:6" ht="19.5" customHeight="1">
      <c r="A49" s="332" t="s">
        <v>49</v>
      </c>
      <c r="B49" s="392" t="s">
        <v>54</v>
      </c>
      <c r="C49" s="390"/>
      <c r="D49" s="379"/>
      <c r="E49" s="336"/>
      <c r="F49" s="374"/>
    </row>
    <row r="50" spans="1:6" ht="19.5" customHeight="1">
      <c r="A50" s="332">
        <v>1</v>
      </c>
      <c r="B50" s="392" t="s">
        <v>54</v>
      </c>
      <c r="C50" s="393" t="s">
        <v>55</v>
      </c>
      <c r="D50" s="394">
        <v>6</v>
      </c>
      <c r="E50" s="395"/>
      <c r="F50" s="374"/>
    </row>
    <row r="51" spans="1:6" ht="19.5" customHeight="1">
      <c r="A51" s="396" t="s">
        <v>57</v>
      </c>
      <c r="B51" s="392" t="s">
        <v>50</v>
      </c>
      <c r="C51" s="390"/>
      <c r="D51" s="391"/>
      <c r="E51" s="336"/>
      <c r="F51" s="374"/>
    </row>
    <row r="52" spans="1:6" ht="19.5" customHeight="1">
      <c r="A52" s="391">
        <v>1</v>
      </c>
      <c r="B52" s="291" t="s">
        <v>51</v>
      </c>
      <c r="C52" s="390" t="s">
        <v>59</v>
      </c>
      <c r="D52" s="391">
        <v>28512</v>
      </c>
      <c r="E52" s="397"/>
      <c r="F52" s="374"/>
    </row>
    <row r="53" spans="1:6" ht="19.5" customHeight="1">
      <c r="A53" s="399" t="s">
        <v>53</v>
      </c>
      <c r="B53" s="291" t="s">
        <v>70</v>
      </c>
      <c r="C53" s="400"/>
      <c r="D53" s="401"/>
      <c r="E53" s="334"/>
      <c r="F53" s="342"/>
    </row>
    <row r="54" spans="1:6" ht="19.5" customHeight="1">
      <c r="A54" s="401">
        <v>1</v>
      </c>
      <c r="B54" s="291" t="s">
        <v>71</v>
      </c>
      <c r="C54" s="402" t="s">
        <v>72</v>
      </c>
      <c r="D54" s="401">
        <v>1</v>
      </c>
      <c r="E54" s="334"/>
      <c r="F54" s="342"/>
    </row>
    <row r="55" spans="1:6" ht="19.5" customHeight="1">
      <c r="A55" s="424" t="s">
        <v>850</v>
      </c>
      <c r="B55" s="375" t="s">
        <v>848</v>
      </c>
      <c r="C55" s="378" t="s">
        <v>853</v>
      </c>
      <c r="D55" s="377">
        <v>1</v>
      </c>
      <c r="E55" s="425"/>
      <c r="F55" s="426"/>
    </row>
    <row r="56" spans="1:6" ht="19.5" customHeight="1">
      <c r="A56" s="403" t="s">
        <v>41</v>
      </c>
      <c r="B56" s="404" t="s">
        <v>73</v>
      </c>
      <c r="C56" s="290"/>
      <c r="D56" s="290"/>
      <c r="E56" s="336"/>
      <c r="F56" s="398"/>
    </row>
    <row r="57" spans="1:6" ht="19.5" customHeight="1">
      <c r="A57" s="38" t="s">
        <v>11</v>
      </c>
      <c r="B57" s="404" t="s">
        <v>48</v>
      </c>
      <c r="C57" s="400"/>
      <c r="D57" s="290"/>
      <c r="E57" s="336"/>
      <c r="F57" s="374"/>
    </row>
    <row r="58" spans="1:6" ht="19.5" customHeight="1">
      <c r="A58" s="38" t="s">
        <v>49</v>
      </c>
      <c r="B58" s="405" t="s">
        <v>74</v>
      </c>
      <c r="C58" s="291" t="s">
        <v>75</v>
      </c>
      <c r="D58" s="406">
        <v>50</v>
      </c>
      <c r="E58" s="336"/>
      <c r="F58" s="374"/>
    </row>
    <row r="59" spans="1:6" ht="19.5" customHeight="1">
      <c r="A59" s="38">
        <v>1</v>
      </c>
      <c r="B59" s="29" t="s">
        <v>76</v>
      </c>
      <c r="C59" s="29" t="s">
        <v>77</v>
      </c>
      <c r="D59" s="407">
        <f>0.3*5*D58</f>
        <v>75</v>
      </c>
      <c r="E59" s="395"/>
      <c r="F59" s="374"/>
    </row>
    <row r="60" spans="1:6" ht="19.5" customHeight="1">
      <c r="A60" s="38">
        <v>2</v>
      </c>
      <c r="B60" s="29" t="s">
        <v>78</v>
      </c>
      <c r="C60" s="29" t="s">
        <v>77</v>
      </c>
      <c r="D60" s="407">
        <v>100</v>
      </c>
      <c r="E60" s="395"/>
      <c r="F60" s="374"/>
    </row>
    <row r="61" spans="1:6" ht="19.5" customHeight="1">
      <c r="A61" s="38">
        <v>3</v>
      </c>
      <c r="B61" s="29" t="s">
        <v>79</v>
      </c>
      <c r="C61" s="29" t="s">
        <v>77</v>
      </c>
      <c r="D61" s="407">
        <v>50</v>
      </c>
      <c r="E61" s="395"/>
      <c r="F61" s="374"/>
    </row>
    <row r="62" spans="1:6" ht="19.5" customHeight="1">
      <c r="A62" s="38">
        <v>4</v>
      </c>
      <c r="B62" s="29" t="s">
        <v>80</v>
      </c>
      <c r="C62" s="29" t="s">
        <v>77</v>
      </c>
      <c r="D62" s="408">
        <v>74.6</v>
      </c>
      <c r="E62" s="395"/>
      <c r="F62" s="374"/>
    </row>
    <row r="63" spans="1:6" ht="19.5" customHeight="1">
      <c r="A63" s="38">
        <v>5</v>
      </c>
      <c r="B63" s="29" t="s">
        <v>81</v>
      </c>
      <c r="C63" s="29" t="s">
        <v>77</v>
      </c>
      <c r="D63" s="408">
        <f>D62</f>
        <v>74.6</v>
      </c>
      <c r="E63" s="395"/>
      <c r="F63" s="374"/>
    </row>
    <row r="64" spans="1:6" ht="19.5" customHeight="1">
      <c r="A64" s="38">
        <v>6</v>
      </c>
      <c r="B64" s="29" t="s">
        <v>82</v>
      </c>
      <c r="C64" s="29" t="s">
        <v>77</v>
      </c>
      <c r="D64" s="408">
        <f>D62/3*2</f>
        <v>49.73333333333333</v>
      </c>
      <c r="E64" s="395"/>
      <c r="F64" s="374"/>
    </row>
    <row r="65" spans="1:6" ht="19.5" customHeight="1">
      <c r="A65" s="38">
        <v>7</v>
      </c>
      <c r="B65" s="29" t="s">
        <v>83</v>
      </c>
      <c r="C65" s="291" t="s">
        <v>84</v>
      </c>
      <c r="D65" s="408">
        <f>D64/2*10</f>
        <v>248.66666666666663</v>
      </c>
      <c r="E65" s="395"/>
      <c r="F65" s="374"/>
    </row>
    <row r="66" spans="1:6" ht="19.5" customHeight="1">
      <c r="A66" s="38">
        <v>8</v>
      </c>
      <c r="B66" s="29" t="s">
        <v>85</v>
      </c>
      <c r="C66" s="29" t="s">
        <v>77</v>
      </c>
      <c r="D66" s="408">
        <v>50</v>
      </c>
      <c r="E66" s="395"/>
      <c r="F66" s="374"/>
    </row>
    <row r="67" spans="1:6" ht="19.5" customHeight="1">
      <c r="A67" s="38" t="s">
        <v>13</v>
      </c>
      <c r="B67" s="404" t="s">
        <v>69</v>
      </c>
      <c r="C67" s="291"/>
      <c r="D67" s="408"/>
      <c r="E67" s="395"/>
      <c r="F67" s="374"/>
    </row>
    <row r="68" spans="1:6" ht="19.5" customHeight="1">
      <c r="A68" s="38" t="s">
        <v>49</v>
      </c>
      <c r="B68" s="29" t="s">
        <v>86</v>
      </c>
      <c r="C68" s="291" t="s">
        <v>75</v>
      </c>
      <c r="D68" s="291">
        <v>20</v>
      </c>
      <c r="E68" s="395"/>
      <c r="F68" s="374"/>
    </row>
    <row r="69" spans="1:6" ht="19.5" customHeight="1">
      <c r="A69" s="38">
        <v>1</v>
      </c>
      <c r="B69" s="29" t="s">
        <v>76</v>
      </c>
      <c r="C69" s="29" t="s">
        <v>77</v>
      </c>
      <c r="D69" s="409">
        <f>10.14*0.3*D68</f>
        <v>60.84</v>
      </c>
      <c r="E69" s="395"/>
      <c r="F69" s="374"/>
    </row>
    <row r="70" spans="1:6" ht="19.5" customHeight="1">
      <c r="A70" s="38">
        <v>2</v>
      </c>
      <c r="B70" s="29" t="s">
        <v>78</v>
      </c>
      <c r="C70" s="29" t="s">
        <v>77</v>
      </c>
      <c r="D70" s="409">
        <f>2*D68</f>
        <v>40</v>
      </c>
      <c r="E70" s="395"/>
      <c r="F70" s="374"/>
    </row>
    <row r="71" spans="1:6" ht="19.5" customHeight="1">
      <c r="A71" s="38">
        <v>3</v>
      </c>
      <c r="B71" s="29" t="s">
        <v>79</v>
      </c>
      <c r="C71" s="29" t="s">
        <v>77</v>
      </c>
      <c r="D71" s="409">
        <f>D68</f>
        <v>20</v>
      </c>
      <c r="E71" s="395"/>
      <c r="F71" s="374"/>
    </row>
    <row r="72" spans="1:6" ht="19.5" customHeight="1">
      <c r="A72" s="38">
        <v>4</v>
      </c>
      <c r="B72" s="29" t="s">
        <v>80</v>
      </c>
      <c r="C72" s="29" t="s">
        <v>77</v>
      </c>
      <c r="D72" s="408">
        <f>253.6/80*D68</f>
        <v>63.4</v>
      </c>
      <c r="E72" s="395"/>
      <c r="F72" s="374"/>
    </row>
    <row r="73" spans="1:6" ht="19.5" customHeight="1">
      <c r="A73" s="38">
        <v>5</v>
      </c>
      <c r="B73" s="29" t="s">
        <v>81</v>
      </c>
      <c r="C73" s="29" t="s">
        <v>77</v>
      </c>
      <c r="D73" s="408">
        <f>D72/2</f>
        <v>31.7</v>
      </c>
      <c r="E73" s="395"/>
      <c r="F73" s="374"/>
    </row>
    <row r="74" spans="1:6" ht="19.5" customHeight="1">
      <c r="A74" s="38">
        <v>6</v>
      </c>
      <c r="B74" s="189" t="s">
        <v>87</v>
      </c>
      <c r="C74" s="29" t="s">
        <v>77</v>
      </c>
      <c r="D74" s="408">
        <f>D73</f>
        <v>31.7</v>
      </c>
      <c r="E74" s="395"/>
      <c r="F74" s="374"/>
    </row>
    <row r="75" spans="1:6" ht="19.5" customHeight="1">
      <c r="A75" s="38">
        <v>7</v>
      </c>
      <c r="B75" s="29" t="s">
        <v>88</v>
      </c>
      <c r="C75" s="29" t="s">
        <v>77</v>
      </c>
      <c r="D75" s="408">
        <f>169.1/80*D68</f>
        <v>42.275</v>
      </c>
      <c r="E75" s="395"/>
      <c r="F75" s="374"/>
    </row>
    <row r="76" spans="1:6" ht="19.5" customHeight="1">
      <c r="A76" s="38">
        <v>8</v>
      </c>
      <c r="B76" s="29" t="s">
        <v>89</v>
      </c>
      <c r="C76" s="291" t="s">
        <v>84</v>
      </c>
      <c r="D76" s="408">
        <f>845.3/80*D68</f>
        <v>211.325</v>
      </c>
      <c r="E76" s="395"/>
      <c r="F76" s="374"/>
    </row>
    <row r="77" spans="1:6" ht="19.5" customHeight="1">
      <c r="A77" s="38">
        <v>9</v>
      </c>
      <c r="B77" s="29" t="s">
        <v>85</v>
      </c>
      <c r="C77" s="29" t="s">
        <v>77</v>
      </c>
      <c r="D77" s="408">
        <f>D68</f>
        <v>20</v>
      </c>
      <c r="E77" s="395"/>
      <c r="F77" s="374"/>
    </row>
    <row r="78" spans="1:6" ht="19.5" customHeight="1">
      <c r="A78" s="38" t="s">
        <v>57</v>
      </c>
      <c r="B78" s="29" t="s">
        <v>90</v>
      </c>
      <c r="C78" s="291" t="s">
        <v>84</v>
      </c>
      <c r="D78" s="291">
        <f>20*25</f>
        <v>500</v>
      </c>
      <c r="E78" s="395"/>
      <c r="F78" s="374"/>
    </row>
    <row r="79" spans="1:6" ht="19.5" customHeight="1" hidden="1">
      <c r="A79" s="38">
        <v>1</v>
      </c>
      <c r="B79" s="29" t="s">
        <v>91</v>
      </c>
      <c r="C79" s="29" t="s">
        <v>77</v>
      </c>
      <c r="D79" s="408"/>
      <c r="E79" s="395"/>
      <c r="F79" s="374"/>
    </row>
    <row r="80" spans="1:6" ht="19.5" customHeight="1">
      <c r="A80" s="38">
        <v>1</v>
      </c>
      <c r="B80" s="29" t="s">
        <v>92</v>
      </c>
      <c r="C80" s="29" t="s">
        <v>77</v>
      </c>
      <c r="D80" s="408">
        <f>D78*1.5</f>
        <v>750</v>
      </c>
      <c r="E80" s="395"/>
      <c r="F80" s="374"/>
    </row>
    <row r="81" spans="1:6" ht="19.5" customHeight="1" hidden="1">
      <c r="A81" s="38">
        <v>3</v>
      </c>
      <c r="B81" s="29" t="s">
        <v>93</v>
      </c>
      <c r="C81" s="29" t="s">
        <v>77</v>
      </c>
      <c r="D81" s="408"/>
      <c r="E81" s="395"/>
      <c r="F81" s="374"/>
    </row>
    <row r="82" spans="1:6" ht="19.5" customHeight="1" hidden="1">
      <c r="A82" s="38">
        <v>4</v>
      </c>
      <c r="B82" s="29" t="s">
        <v>94</v>
      </c>
      <c r="C82" s="291" t="s">
        <v>84</v>
      </c>
      <c r="D82" s="408"/>
      <c r="E82" s="395"/>
      <c r="F82" s="374"/>
    </row>
    <row r="83" spans="1:6" ht="19.5" customHeight="1">
      <c r="A83" s="38" t="s">
        <v>21</v>
      </c>
      <c r="B83" s="404" t="s">
        <v>95</v>
      </c>
      <c r="C83" s="290"/>
      <c r="D83" s="290"/>
      <c r="E83" s="336"/>
      <c r="F83" s="374"/>
    </row>
    <row r="84" spans="1:6" ht="19.5" customHeight="1">
      <c r="A84" s="38" t="s">
        <v>49</v>
      </c>
      <c r="B84" s="29" t="s">
        <v>96</v>
      </c>
      <c r="C84" s="291" t="s">
        <v>75</v>
      </c>
      <c r="D84" s="38"/>
      <c r="E84" s="336"/>
      <c r="F84" s="374"/>
    </row>
    <row r="85" spans="1:6" ht="19.5" customHeight="1">
      <c r="A85" s="38">
        <v>1</v>
      </c>
      <c r="B85" s="29" t="s">
        <v>97</v>
      </c>
      <c r="C85" s="29" t="s">
        <v>77</v>
      </c>
      <c r="D85" s="398">
        <v>7.62</v>
      </c>
      <c r="E85" s="397"/>
      <c r="F85" s="374"/>
    </row>
    <row r="86" spans="1:6" ht="19.5" customHeight="1">
      <c r="A86" s="38">
        <v>2</v>
      </c>
      <c r="B86" s="29" t="s">
        <v>98</v>
      </c>
      <c r="C86" s="29" t="s">
        <v>77</v>
      </c>
      <c r="D86" s="398">
        <v>3.26</v>
      </c>
      <c r="E86" s="397"/>
      <c r="F86" s="374"/>
    </row>
    <row r="87" spans="1:6" ht="19.5" customHeight="1">
      <c r="A87" s="38">
        <v>3</v>
      </c>
      <c r="B87" s="29" t="s">
        <v>99</v>
      </c>
      <c r="C87" s="29" t="s">
        <v>77</v>
      </c>
      <c r="D87" s="38">
        <v>4.352</v>
      </c>
      <c r="E87" s="395"/>
      <c r="F87" s="374"/>
    </row>
    <row r="88" spans="1:6" ht="19.5" customHeight="1">
      <c r="A88" s="38">
        <v>4</v>
      </c>
      <c r="B88" s="29" t="s">
        <v>100</v>
      </c>
      <c r="C88" s="29" t="s">
        <v>101</v>
      </c>
      <c r="D88" s="413">
        <v>3.891</v>
      </c>
      <c r="E88" s="395"/>
      <c r="F88" s="374"/>
    </row>
    <row r="89" spans="1:6" ht="19.5" customHeight="1" hidden="1">
      <c r="A89" s="38" t="s">
        <v>64</v>
      </c>
      <c r="B89" s="404" t="s">
        <v>58</v>
      </c>
      <c r="C89" s="290"/>
      <c r="D89" s="290"/>
      <c r="E89" s="290"/>
      <c r="F89" s="374"/>
    </row>
    <row r="90" spans="1:8" ht="15" customHeight="1" hidden="1">
      <c r="A90" s="399" t="s">
        <v>49</v>
      </c>
      <c r="B90" s="291" t="s">
        <v>102</v>
      </c>
      <c r="C90" s="400" t="s">
        <v>75</v>
      </c>
      <c r="D90" s="401"/>
      <c r="E90" s="334"/>
      <c r="F90" s="342"/>
      <c r="G90" s="381"/>
      <c r="H90" s="382"/>
    </row>
    <row r="91" spans="1:8" ht="15" customHeight="1" hidden="1">
      <c r="A91" s="401">
        <v>1</v>
      </c>
      <c r="B91" s="291" t="s">
        <v>103</v>
      </c>
      <c r="C91" s="400" t="s">
        <v>104</v>
      </c>
      <c r="D91" s="401"/>
      <c r="E91" s="334"/>
      <c r="F91" s="342"/>
      <c r="G91" s="381"/>
      <c r="H91" s="382"/>
    </row>
    <row r="92" spans="1:8" ht="15" customHeight="1" hidden="1">
      <c r="A92" s="401">
        <v>2</v>
      </c>
      <c r="B92" s="291" t="s">
        <v>81</v>
      </c>
      <c r="C92" s="400" t="s">
        <v>104</v>
      </c>
      <c r="D92" s="401"/>
      <c r="E92" s="334"/>
      <c r="F92" s="342"/>
      <c r="G92" s="381"/>
      <c r="H92" s="382"/>
    </row>
    <row r="93" spans="1:8" ht="15" customHeight="1" hidden="1">
      <c r="A93" s="401">
        <v>3</v>
      </c>
      <c r="B93" s="291" t="s">
        <v>88</v>
      </c>
      <c r="C93" s="400" t="s">
        <v>104</v>
      </c>
      <c r="D93" s="401"/>
      <c r="E93" s="334"/>
      <c r="F93" s="342"/>
      <c r="G93" s="381"/>
      <c r="H93" s="382"/>
    </row>
    <row r="94" spans="1:8" ht="15" customHeight="1" hidden="1">
      <c r="A94" s="401">
        <v>4</v>
      </c>
      <c r="B94" s="291" t="s">
        <v>89</v>
      </c>
      <c r="C94" s="400" t="s">
        <v>59</v>
      </c>
      <c r="D94" s="401"/>
      <c r="E94" s="334"/>
      <c r="F94" s="342"/>
      <c r="G94" s="381"/>
      <c r="H94" s="382"/>
    </row>
    <row r="95" ht="19.5" customHeight="1">
      <c r="B95" s="414"/>
    </row>
  </sheetData>
  <sheetProtection/>
  <mergeCells count="1">
    <mergeCell ref="A1:F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8" r:id="rId1"/>
  <headerFooter alignWithMargins="0">
    <oddFooter>&amp;C-&amp;P&amp;--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F34"/>
  <sheetViews>
    <sheetView workbookViewId="0" topLeftCell="A10">
      <selection activeCell="D18" sqref="D18"/>
    </sheetView>
  </sheetViews>
  <sheetFormatPr defaultColWidth="8.625" defaultRowHeight="14.25"/>
  <cols>
    <col min="1" max="1" width="7.25390625" style="27" customWidth="1"/>
    <col min="2" max="2" width="21.25390625" style="27" customWidth="1"/>
    <col min="3" max="3" width="9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354</v>
      </c>
      <c r="C3" s="465"/>
      <c r="D3" s="465"/>
      <c r="E3" s="29" t="s">
        <v>38</v>
      </c>
      <c r="F3" s="30"/>
    </row>
    <row r="4" spans="1:6" ht="21" customHeight="1">
      <c r="A4" s="29" t="s">
        <v>251</v>
      </c>
      <c r="B4" s="466">
        <v>10281</v>
      </c>
      <c r="C4" s="466"/>
      <c r="D4" s="466"/>
      <c r="E4" s="29" t="s">
        <v>43</v>
      </c>
      <c r="F4" s="29" t="s">
        <v>345</v>
      </c>
    </row>
    <row r="5" spans="1:6" ht="19.5" customHeight="1">
      <c r="A5" s="465" t="s">
        <v>355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>
        <f>F10+F18</f>
        <v>344.0738335198506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>
        <f>F11+F14+F16</f>
        <v>312.7943941089551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SUM(F12:F13)</f>
        <v>18.34</v>
      </c>
    </row>
    <row r="12" spans="1:6" ht="19.5" customHeight="1" hidden="1">
      <c r="A12" s="29"/>
      <c r="B12" s="29" t="s">
        <v>347</v>
      </c>
      <c r="C12" s="29" t="s">
        <v>291</v>
      </c>
      <c r="D12" s="29"/>
      <c r="E12" s="31">
        <f>'格宾石笼'!E12</f>
        <v>11.98</v>
      </c>
      <c r="F12" s="31">
        <f>D12*E12</f>
        <v>0</v>
      </c>
    </row>
    <row r="13" spans="1:6" ht="19.5" customHeight="1">
      <c r="A13" s="29"/>
      <c r="B13" s="29" t="s">
        <v>266</v>
      </c>
      <c r="C13" s="29" t="s">
        <v>291</v>
      </c>
      <c r="D13" s="33">
        <v>2.8</v>
      </c>
      <c r="E13" s="31">
        <f>'初级工'!G20</f>
        <v>6.55</v>
      </c>
      <c r="F13" s="31">
        <f>D13*E13</f>
        <v>18.34</v>
      </c>
    </row>
    <row r="14" spans="1:6" ht="19.5" customHeight="1">
      <c r="A14" s="29">
        <v>2</v>
      </c>
      <c r="B14" s="29" t="s">
        <v>163</v>
      </c>
      <c r="C14" s="29"/>
      <c r="D14" s="33"/>
      <c r="E14" s="31"/>
      <c r="F14" s="31">
        <f>F15</f>
        <v>28.435854009905007</v>
      </c>
    </row>
    <row r="15" spans="1:6" ht="19.5" customHeight="1">
      <c r="A15" s="29"/>
      <c r="B15" s="29" t="s">
        <v>316</v>
      </c>
      <c r="C15" s="29" t="s">
        <v>156</v>
      </c>
      <c r="D15" s="34">
        <v>10</v>
      </c>
      <c r="E15" s="35"/>
      <c r="F15" s="31">
        <f>(F11+F16)*D15/100</f>
        <v>28.435854009905007</v>
      </c>
    </row>
    <row r="16" spans="1:6" ht="19.5" customHeight="1">
      <c r="A16" s="29">
        <v>3</v>
      </c>
      <c r="B16" s="29" t="s">
        <v>164</v>
      </c>
      <c r="C16" s="29"/>
      <c r="D16" s="34"/>
      <c r="E16" s="31"/>
      <c r="F16" s="31">
        <f>F17</f>
        <v>266.0185400990501</v>
      </c>
    </row>
    <row r="17" spans="1:6" ht="19.5" customHeight="1">
      <c r="A17" s="29"/>
      <c r="B17" s="29" t="s">
        <v>356</v>
      </c>
      <c r="C17" s="29" t="s">
        <v>179</v>
      </c>
      <c r="D17" s="31">
        <v>2.05</v>
      </c>
      <c r="E17" s="31">
        <f>SUM('台时-1'!C12)</f>
        <v>129.76514151173177</v>
      </c>
      <c r="F17" s="31">
        <f>D17*E17</f>
        <v>266.0185400990501</v>
      </c>
    </row>
    <row r="18" spans="1:6" ht="19.5" customHeight="1">
      <c r="A18" s="29" t="s">
        <v>57</v>
      </c>
      <c r="B18" s="29" t="s">
        <v>165</v>
      </c>
      <c r="C18" s="29" t="s">
        <v>156</v>
      </c>
      <c r="D18" s="29">
        <v>10</v>
      </c>
      <c r="E18" s="29"/>
      <c r="F18" s="31">
        <f>F10*D18/100</f>
        <v>31.27943941089551</v>
      </c>
    </row>
    <row r="19" spans="1:6" ht="19.5" customHeight="1">
      <c r="A19" s="29" t="s">
        <v>13</v>
      </c>
      <c r="B19" s="29" t="s">
        <v>166</v>
      </c>
      <c r="C19" s="29" t="s">
        <v>156</v>
      </c>
      <c r="D19" s="29">
        <v>8.5</v>
      </c>
      <c r="E19" s="29"/>
      <c r="F19" s="31">
        <f>F9*D19/100</f>
        <v>29.2462758491873</v>
      </c>
    </row>
    <row r="20" spans="1:6" ht="19.5" customHeight="1">
      <c r="A20" s="29" t="s">
        <v>21</v>
      </c>
      <c r="B20" s="29" t="s">
        <v>296</v>
      </c>
      <c r="C20" s="29" t="s">
        <v>156</v>
      </c>
      <c r="D20" s="29">
        <v>7</v>
      </c>
      <c r="E20" s="29"/>
      <c r="F20" s="31">
        <f>(F9+F19)*D20/100</f>
        <v>26.132407655832658</v>
      </c>
    </row>
    <row r="21" spans="1:6" ht="19.5" customHeight="1">
      <c r="A21" s="29" t="s">
        <v>60</v>
      </c>
      <c r="B21" s="29" t="s">
        <v>297</v>
      </c>
      <c r="C21" s="29"/>
      <c r="D21" s="29"/>
      <c r="E21" s="29"/>
      <c r="F21" s="31" t="e">
        <f>SUM(D17*'台时-1'!J12/1000*(#REF!-2990))</f>
        <v>#REF!</v>
      </c>
    </row>
    <row r="22" spans="1:6" ht="19.5" customHeight="1">
      <c r="A22" s="29" t="s">
        <v>62</v>
      </c>
      <c r="B22" s="29" t="s">
        <v>167</v>
      </c>
      <c r="C22" s="29" t="s">
        <v>156</v>
      </c>
      <c r="D22" s="29">
        <v>11</v>
      </c>
      <c r="E22" s="29"/>
      <c r="F22" s="31" t="e">
        <f>(F9+F19+F20+F21)*D22/100</f>
        <v>#REF!</v>
      </c>
    </row>
    <row r="23" spans="1:6" ht="19.5" customHeight="1" hidden="1">
      <c r="A23" s="29"/>
      <c r="B23" s="29"/>
      <c r="C23" s="29"/>
      <c r="D23" s="29"/>
      <c r="E23" s="29"/>
      <c r="F23" s="31"/>
    </row>
    <row r="24" spans="1:6" ht="19.5" customHeight="1" hidden="1">
      <c r="A24" s="29"/>
      <c r="B24" s="29"/>
      <c r="C24" s="29"/>
      <c r="D24" s="29"/>
      <c r="E24" s="29"/>
      <c r="F24" s="31"/>
    </row>
    <row r="25" spans="1:6" ht="19.5" customHeight="1" hidden="1">
      <c r="A25" s="29"/>
      <c r="B25" s="29"/>
      <c r="C25" s="29"/>
      <c r="D25" s="29"/>
      <c r="E25" s="29"/>
      <c r="F25" s="31"/>
    </row>
    <row r="26" spans="1:6" ht="19.5" customHeight="1" hidden="1">
      <c r="A26" s="29"/>
      <c r="B26" s="29"/>
      <c r="C26" s="29"/>
      <c r="D26" s="29"/>
      <c r="E26" s="29"/>
      <c r="F26" s="31"/>
    </row>
    <row r="27" spans="1:6" ht="19.5" customHeight="1">
      <c r="A27" s="29"/>
      <c r="B27" s="31" t="s">
        <v>276</v>
      </c>
      <c r="C27" s="29"/>
      <c r="D27" s="29"/>
      <c r="E27" s="29"/>
      <c r="F27" s="31" t="e">
        <f>F9+F19+F20+F21+F22</f>
        <v>#REF!</v>
      </c>
    </row>
    <row r="28" spans="1:6" ht="19.5" customHeight="1" hidden="1">
      <c r="A28" s="29"/>
      <c r="B28" s="31" t="s">
        <v>275</v>
      </c>
      <c r="C28" s="29"/>
      <c r="D28" s="29"/>
      <c r="E28" s="29"/>
      <c r="F28" s="31" t="e">
        <f>F27/100</f>
        <v>#REF!</v>
      </c>
    </row>
    <row r="29" spans="1:6" ht="19.5" customHeight="1">
      <c r="A29" s="29"/>
      <c r="B29" s="31"/>
      <c r="C29" s="29"/>
      <c r="D29" s="29"/>
      <c r="E29" s="29"/>
      <c r="F29" s="31"/>
    </row>
    <row r="30" spans="1:6" ht="19.5" customHeight="1">
      <c r="A30" s="29"/>
      <c r="B30" s="31"/>
      <c r="C30" s="29"/>
      <c r="D30" s="29"/>
      <c r="E30" s="29"/>
      <c r="F30" s="31"/>
    </row>
    <row r="31" spans="1:6" ht="19.5" customHeight="1">
      <c r="A31" s="29"/>
      <c r="B31" s="31"/>
      <c r="C31" s="29"/>
      <c r="D31" s="29"/>
      <c r="E31" s="29"/>
      <c r="F31" s="31"/>
    </row>
    <row r="32" spans="1:6" ht="19.5" customHeight="1">
      <c r="A32" s="29"/>
      <c r="B32" s="31"/>
      <c r="C32" s="29"/>
      <c r="D32" s="29"/>
      <c r="E32" s="29"/>
      <c r="F32" s="31"/>
    </row>
    <row r="33" spans="1:6" ht="19.5" customHeight="1">
      <c r="A33" s="29"/>
      <c r="B33" s="31"/>
      <c r="C33" s="29"/>
      <c r="D33" s="29"/>
      <c r="E33" s="29"/>
      <c r="F33" s="31"/>
    </row>
    <row r="34" spans="1:6" ht="19.5" customHeight="1">
      <c r="A34" s="29"/>
      <c r="B34" s="36"/>
      <c r="C34" s="36"/>
      <c r="D34" s="36"/>
      <c r="E34" s="36"/>
      <c r="F34" s="37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4">
    <mergeCell ref="A1:F1"/>
    <mergeCell ref="B3:D3"/>
    <mergeCell ref="B4:D4"/>
    <mergeCell ref="A5:F7"/>
  </mergeCells>
  <printOptions/>
  <pageMargins left="0.9055118110236221" right="0.7086614173228347" top="0.7480314960629921" bottom="0.7480314960629921" header="0.31496062992125984" footer="0.5118110236220472"/>
  <pageSetup horizontalDpi="600" verticalDpi="600" orientation="portrait" paperSize="9"/>
  <headerFooter>
    <oddFooter>&amp;C－&amp;P－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K26"/>
  <sheetViews>
    <sheetView workbookViewId="0" topLeftCell="A5">
      <selection activeCell="G7" sqref="G7"/>
    </sheetView>
  </sheetViews>
  <sheetFormatPr defaultColWidth="8.625" defaultRowHeight="14.25"/>
  <cols>
    <col min="1" max="1" width="8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11" ht="21" customHeight="1">
      <c r="A3" s="29" t="s">
        <v>161</v>
      </c>
      <c r="B3" s="465" t="s">
        <v>358</v>
      </c>
      <c r="C3" s="465"/>
      <c r="D3" s="465"/>
      <c r="E3" s="29" t="s">
        <v>38</v>
      </c>
      <c r="F3" s="180" t="s">
        <v>359</v>
      </c>
      <c r="I3" s="469"/>
      <c r="J3" s="469"/>
      <c r="K3" s="469"/>
    </row>
    <row r="4" spans="1:6" ht="21" customHeight="1">
      <c r="A4" s="29" t="s">
        <v>251</v>
      </c>
      <c r="B4" s="465" t="s">
        <v>360</v>
      </c>
      <c r="C4" s="465"/>
      <c r="D4" s="465"/>
      <c r="E4" s="38" t="s">
        <v>43</v>
      </c>
      <c r="F4" s="29" t="s">
        <v>345</v>
      </c>
    </row>
    <row r="5" spans="1:6" ht="19.5" customHeight="1">
      <c r="A5" s="467" t="s">
        <v>361</v>
      </c>
      <c r="B5" s="468"/>
      <c r="C5" s="468"/>
      <c r="D5" s="468"/>
      <c r="E5" s="468"/>
      <c r="F5" s="468"/>
    </row>
    <row r="6" spans="1:6" ht="19.5" customHeight="1">
      <c r="A6" s="468"/>
      <c r="B6" s="468"/>
      <c r="C6" s="468"/>
      <c r="D6" s="468"/>
      <c r="E6" s="468"/>
      <c r="F6" s="468"/>
    </row>
    <row r="7" spans="1:6" ht="13.5" customHeight="1">
      <c r="A7" s="468"/>
      <c r="B7" s="468"/>
      <c r="C7" s="468"/>
      <c r="D7" s="468"/>
      <c r="E7" s="468"/>
      <c r="F7" s="468"/>
    </row>
    <row r="8" spans="1:6" ht="21" customHeight="1">
      <c r="A8" s="39" t="s">
        <v>2</v>
      </c>
      <c r="B8" s="39" t="s">
        <v>184</v>
      </c>
      <c r="C8" s="39" t="s">
        <v>274</v>
      </c>
      <c r="D8" s="39" t="s">
        <v>44</v>
      </c>
      <c r="E8" s="39" t="s">
        <v>275</v>
      </c>
      <c r="F8" s="39" t="s">
        <v>276</v>
      </c>
    </row>
    <row r="9" spans="1:6" ht="21" customHeight="1">
      <c r="A9" s="29" t="s">
        <v>11</v>
      </c>
      <c r="B9" s="29" t="s">
        <v>289</v>
      </c>
      <c r="C9" s="29"/>
      <c r="D9" s="31"/>
      <c r="E9" s="31"/>
      <c r="F9" s="32">
        <f>F10+F19</f>
        <v>1177.881522758099</v>
      </c>
    </row>
    <row r="10" spans="1:6" ht="21" customHeight="1">
      <c r="A10" s="29" t="s">
        <v>49</v>
      </c>
      <c r="B10" s="29" t="s">
        <v>290</v>
      </c>
      <c r="C10" s="29"/>
      <c r="D10" s="29"/>
      <c r="E10" s="31"/>
      <c r="F10" s="32">
        <f>F11+F13+F15</f>
        <v>1094.6854300725827</v>
      </c>
    </row>
    <row r="11" spans="1:6" ht="21" customHeight="1">
      <c r="A11" s="29">
        <v>1</v>
      </c>
      <c r="B11" s="29" t="s">
        <v>162</v>
      </c>
      <c r="C11" s="29"/>
      <c r="D11" s="29"/>
      <c r="E11" s="31"/>
      <c r="F11" s="32">
        <f>SUM(F12:F12)</f>
        <v>45.85</v>
      </c>
    </row>
    <row r="12" spans="1:6" ht="21" customHeight="1">
      <c r="A12" s="29"/>
      <c r="B12" s="29" t="s">
        <v>266</v>
      </c>
      <c r="C12" s="29" t="s">
        <v>291</v>
      </c>
      <c r="D12" s="31">
        <v>7</v>
      </c>
      <c r="E12" s="31">
        <f>'初级工'!G20</f>
        <v>6.55</v>
      </c>
      <c r="F12" s="31">
        <f>D12*E12</f>
        <v>45.85</v>
      </c>
    </row>
    <row r="13" spans="1:6" ht="21" customHeight="1">
      <c r="A13" s="29">
        <v>2</v>
      </c>
      <c r="B13" s="29" t="s">
        <v>163</v>
      </c>
      <c r="C13" s="29"/>
      <c r="D13" s="33"/>
      <c r="E13" s="31"/>
      <c r="F13" s="31">
        <f>F14</f>
        <v>42.10328577202241</v>
      </c>
    </row>
    <row r="14" spans="1:6" ht="21" customHeight="1">
      <c r="A14" s="29"/>
      <c r="B14" s="29" t="s">
        <v>316</v>
      </c>
      <c r="C14" s="29" t="s">
        <v>156</v>
      </c>
      <c r="D14" s="34">
        <v>4</v>
      </c>
      <c r="E14" s="35"/>
      <c r="F14" s="31">
        <f>(F11+F15)*D14/100</f>
        <v>42.10328577202241</v>
      </c>
    </row>
    <row r="15" spans="1:6" ht="21" customHeight="1">
      <c r="A15" s="29">
        <v>3</v>
      </c>
      <c r="B15" s="29" t="s">
        <v>164</v>
      </c>
      <c r="C15" s="29"/>
      <c r="D15" s="34"/>
      <c r="E15" s="31"/>
      <c r="F15" s="31">
        <f>SUM(F16:F18)</f>
        <v>1006.7321443005602</v>
      </c>
    </row>
    <row r="16" spans="1:6" ht="21" customHeight="1">
      <c r="A16" s="29"/>
      <c r="B16" s="29" t="s">
        <v>362</v>
      </c>
      <c r="C16" s="29" t="s">
        <v>179</v>
      </c>
      <c r="D16" s="31">
        <v>1.04</v>
      </c>
      <c r="E16" s="31">
        <f>SUM('台时-1'!C5)</f>
        <v>126.81077161646505</v>
      </c>
      <c r="F16" s="31">
        <f>D16*E16</f>
        <v>131.88320248112365</v>
      </c>
    </row>
    <row r="17" spans="1:6" ht="21" customHeight="1">
      <c r="A17" s="29"/>
      <c r="B17" s="29" t="s">
        <v>363</v>
      </c>
      <c r="C17" s="29" t="s">
        <v>179</v>
      </c>
      <c r="D17" s="31">
        <v>0.52</v>
      </c>
      <c r="E17" s="31">
        <f>SUM('台时-1'!C9)</f>
        <v>69.50047625233417</v>
      </c>
      <c r="F17" s="31">
        <f>D17*E17</f>
        <v>36.14024765121377</v>
      </c>
    </row>
    <row r="18" spans="1:6" ht="21" customHeight="1">
      <c r="A18" s="29"/>
      <c r="B18" s="29" t="s">
        <v>364</v>
      </c>
      <c r="C18" s="29" t="s">
        <v>179</v>
      </c>
      <c r="D18" s="31">
        <v>9.51</v>
      </c>
      <c r="E18" s="31">
        <f>SUM('台时-2'!C18)</f>
        <v>88.19229171064383</v>
      </c>
      <c r="F18" s="31">
        <f>D18*E18</f>
        <v>838.7086941682228</v>
      </c>
    </row>
    <row r="19" spans="1:6" ht="21" customHeight="1">
      <c r="A19" s="29" t="s">
        <v>57</v>
      </c>
      <c r="B19" s="29" t="s">
        <v>165</v>
      </c>
      <c r="C19" s="29" t="s">
        <v>156</v>
      </c>
      <c r="D19" s="29">
        <v>7.6</v>
      </c>
      <c r="E19" s="29"/>
      <c r="F19" s="31">
        <f>F10*D19/100</f>
        <v>83.19609268551629</v>
      </c>
    </row>
    <row r="20" spans="1:6" ht="21" customHeight="1">
      <c r="A20" s="29" t="s">
        <v>13</v>
      </c>
      <c r="B20" s="29" t="s">
        <v>166</v>
      </c>
      <c r="C20" s="29" t="s">
        <v>156</v>
      </c>
      <c r="D20" s="29">
        <v>5</v>
      </c>
      <c r="E20" s="29"/>
      <c r="F20" s="31">
        <f>F9*D20/100</f>
        <v>58.894076137904946</v>
      </c>
    </row>
    <row r="21" spans="1:6" ht="21" customHeight="1">
      <c r="A21" s="29" t="s">
        <v>21</v>
      </c>
      <c r="B21" s="29" t="s">
        <v>296</v>
      </c>
      <c r="C21" s="29" t="s">
        <v>156</v>
      </c>
      <c r="D21" s="29">
        <v>7</v>
      </c>
      <c r="E21" s="29"/>
      <c r="F21" s="31">
        <f>(F9+F20)*D21/100</f>
        <v>86.57429192272028</v>
      </c>
    </row>
    <row r="22" spans="1:6" ht="21" customHeight="1">
      <c r="A22" s="29" t="s">
        <v>60</v>
      </c>
      <c r="B22" s="29" t="s">
        <v>297</v>
      </c>
      <c r="C22" s="29"/>
      <c r="D22" s="29"/>
      <c r="E22" s="29"/>
      <c r="F22" s="31" t="e">
        <f>SUM(D16*'台时-1'!J5/1000*(#REF!-2990)+D17*'台时-1'!J9/1000*(#REF!-2990)+D18*'台时-2'!J18/1000*(#REF!-2990))</f>
        <v>#REF!</v>
      </c>
    </row>
    <row r="23" spans="1:6" ht="21" customHeight="1">
      <c r="A23" s="29" t="s">
        <v>62</v>
      </c>
      <c r="B23" s="29" t="s">
        <v>167</v>
      </c>
      <c r="C23" s="29" t="s">
        <v>156</v>
      </c>
      <c r="D23" s="29">
        <v>10</v>
      </c>
      <c r="E23" s="29"/>
      <c r="F23" s="31" t="e">
        <f>(F9+F20+F21+F22)*D23/100</f>
        <v>#REF!</v>
      </c>
    </row>
    <row r="24" spans="1:6" ht="21" customHeight="1">
      <c r="A24" s="29"/>
      <c r="B24" s="31" t="s">
        <v>365</v>
      </c>
      <c r="C24" s="29"/>
      <c r="D24" s="29"/>
      <c r="E24" s="29"/>
      <c r="F24" s="31" t="e">
        <f>F9+F20+F21+F22+F23</f>
        <v>#REF!</v>
      </c>
    </row>
    <row r="25" spans="1:6" ht="21" customHeight="1" hidden="1">
      <c r="A25" s="29"/>
      <c r="B25" s="31" t="s">
        <v>275</v>
      </c>
      <c r="C25" s="29"/>
      <c r="D25" s="29"/>
      <c r="E25" s="29"/>
      <c r="F25" s="31" t="e">
        <f>F24/100</f>
        <v>#REF!</v>
      </c>
    </row>
    <row r="26" spans="1:6" ht="21" customHeight="1">
      <c r="A26" s="39"/>
      <c r="B26" s="40"/>
      <c r="C26" s="40"/>
      <c r="D26" s="40"/>
      <c r="E26" s="40"/>
      <c r="F26" s="41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">
    <mergeCell ref="A1:F1"/>
    <mergeCell ref="B3:D3"/>
    <mergeCell ref="I3:K3"/>
    <mergeCell ref="B4:D4"/>
    <mergeCell ref="A5:F7"/>
  </mergeCells>
  <printOptions/>
  <pageMargins left="0.9055118110236221" right="0.7086614173228347" top="0.7480314960629921" bottom="0.7480314960629921" header="0.31496062992125984" footer="0.5118110236220472"/>
  <pageSetup horizontalDpi="600" verticalDpi="600" orientation="portrait" paperSize="9"/>
  <headerFooter>
    <oddFooter>&amp;C-&amp;P--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H32"/>
  <sheetViews>
    <sheetView zoomScale="145" zoomScaleNormal="145" workbookViewId="0" topLeftCell="A16">
      <selection activeCell="D21" sqref="D21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7" width="9.00390625" style="27" bestFit="1" customWidth="1"/>
    <col min="8" max="8" width="19.375" style="27" bestFit="1" customWidth="1"/>
    <col min="9" max="32" width="9.00390625" style="27" bestFit="1" customWidth="1"/>
    <col min="33" max="16384" width="8.625" style="27" customWidth="1"/>
  </cols>
  <sheetData>
    <row r="1" spans="1:6" ht="24" customHeight="1">
      <c r="A1" s="444" t="s">
        <v>269</v>
      </c>
      <c r="B1" s="444"/>
      <c r="C1" s="444"/>
      <c r="D1" s="444"/>
      <c r="E1" s="444"/>
      <c r="F1" s="444"/>
    </row>
    <row r="2" spans="1:6" ht="24" customHeight="1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54" t="s">
        <v>103</v>
      </c>
      <c r="C3" s="455"/>
      <c r="D3" s="456"/>
      <c r="E3" s="29" t="s">
        <v>38</v>
      </c>
      <c r="F3" s="292"/>
    </row>
    <row r="4" spans="1:6" ht="21.75" customHeight="1">
      <c r="A4" s="29" t="s">
        <v>251</v>
      </c>
      <c r="B4" s="454" t="s">
        <v>366</v>
      </c>
      <c r="C4" s="470"/>
      <c r="D4" s="471"/>
      <c r="E4" s="29" t="s">
        <v>43</v>
      </c>
      <c r="F4" s="29" t="s">
        <v>345</v>
      </c>
    </row>
    <row r="5" spans="1:6" ht="19.5" customHeight="1">
      <c r="A5" s="465" t="s">
        <v>357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>
        <f>F10+F19</f>
        <v>303.4435053403235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>
        <f>F11+F15+F17</f>
        <v>274.6095070953154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SUM(F13:F14)</f>
        <v>135.99020000000002</v>
      </c>
    </row>
    <row r="12" spans="1:6" ht="19.5" customHeight="1" hidden="1">
      <c r="A12" s="29"/>
      <c r="B12" s="29" t="s">
        <v>262</v>
      </c>
      <c r="C12" s="29" t="s">
        <v>291</v>
      </c>
      <c r="D12" s="29">
        <v>0</v>
      </c>
      <c r="E12" s="31">
        <v>8.31</v>
      </c>
      <c r="F12" s="31">
        <f>D12*E12</f>
        <v>0</v>
      </c>
    </row>
    <row r="13" spans="1:6" ht="19.5" customHeight="1">
      <c r="A13" s="29"/>
      <c r="B13" s="29" t="s">
        <v>262</v>
      </c>
      <c r="C13" s="29" t="s">
        <v>291</v>
      </c>
      <c r="D13" s="29">
        <f>1.7*0.2</f>
        <v>0.34</v>
      </c>
      <c r="E13" s="31">
        <v>11.98</v>
      </c>
      <c r="F13" s="31">
        <f>D13*E13</f>
        <v>4.073200000000001</v>
      </c>
    </row>
    <row r="14" spans="1:6" ht="19.5" customHeight="1">
      <c r="A14" s="29"/>
      <c r="B14" s="29" t="s">
        <v>266</v>
      </c>
      <c r="C14" s="29" t="s">
        <v>291</v>
      </c>
      <c r="D14" s="33">
        <f>83.5*0.2+4.3*0.8</f>
        <v>20.14</v>
      </c>
      <c r="E14" s="31">
        <f>'初级工'!G20</f>
        <v>6.55</v>
      </c>
      <c r="F14" s="31">
        <f>D14*E14</f>
        <v>131.917</v>
      </c>
    </row>
    <row r="15" spans="1:6" ht="19.5" customHeight="1">
      <c r="A15" s="29">
        <v>2</v>
      </c>
      <c r="B15" s="29" t="s">
        <v>163</v>
      </c>
      <c r="C15" s="29"/>
      <c r="D15" s="33"/>
      <c r="E15" s="31"/>
      <c r="F15" s="31">
        <f>F16</f>
        <v>13.076643195015022</v>
      </c>
    </row>
    <row r="16" spans="1:6" ht="19.5" customHeight="1">
      <c r="A16" s="29"/>
      <c r="B16" s="29" t="s">
        <v>316</v>
      </c>
      <c r="C16" s="29" t="s">
        <v>156</v>
      </c>
      <c r="D16" s="34">
        <v>5</v>
      </c>
      <c r="E16" s="35"/>
      <c r="F16" s="31">
        <f>((F11+F17)*D16/100)</f>
        <v>13.076643195015022</v>
      </c>
    </row>
    <row r="17" spans="1:6" ht="19.5" customHeight="1">
      <c r="A17" s="29">
        <v>3</v>
      </c>
      <c r="B17" s="29" t="s">
        <v>164</v>
      </c>
      <c r="C17" s="29"/>
      <c r="D17" s="34"/>
      <c r="E17" s="31"/>
      <c r="F17" s="31">
        <f>SUM(F18:F18)</f>
        <v>125.5426639003004</v>
      </c>
    </row>
    <row r="18" spans="1:6" ht="19.5" customHeight="1">
      <c r="A18" s="29"/>
      <c r="B18" s="29" t="s">
        <v>317</v>
      </c>
      <c r="C18" s="29" t="s">
        <v>179</v>
      </c>
      <c r="D18" s="31">
        <v>0.99</v>
      </c>
      <c r="E18" s="31">
        <f>SUM('台时-1'!C5)</f>
        <v>126.81077161646505</v>
      </c>
      <c r="F18" s="31">
        <f>D18*E18</f>
        <v>125.5426639003004</v>
      </c>
    </row>
    <row r="19" spans="1:6" ht="19.5" customHeight="1">
      <c r="A19" s="29" t="s">
        <v>57</v>
      </c>
      <c r="B19" s="29" t="s">
        <v>165</v>
      </c>
      <c r="C19" s="29" t="s">
        <v>156</v>
      </c>
      <c r="D19" s="29">
        <v>10.5</v>
      </c>
      <c r="E19" s="29"/>
      <c r="F19" s="31">
        <f>F10*D19/100</f>
        <v>28.833998245008114</v>
      </c>
    </row>
    <row r="20" spans="1:6" ht="19.5" customHeight="1">
      <c r="A20" s="29" t="s">
        <v>13</v>
      </c>
      <c r="B20" s="29" t="s">
        <v>166</v>
      </c>
      <c r="C20" s="29" t="s">
        <v>156</v>
      </c>
      <c r="D20" s="29">
        <v>8.5</v>
      </c>
      <c r="E20" s="29"/>
      <c r="F20" s="31">
        <f>F9*D20/100</f>
        <v>25.792697953927494</v>
      </c>
    </row>
    <row r="21" spans="1:6" ht="19.5" customHeight="1">
      <c r="A21" s="29" t="s">
        <v>21</v>
      </c>
      <c r="B21" s="29" t="s">
        <v>296</v>
      </c>
      <c r="C21" s="29" t="s">
        <v>156</v>
      </c>
      <c r="D21" s="29">
        <v>7</v>
      </c>
      <c r="E21" s="29"/>
      <c r="F21" s="31">
        <f>(F9+F20)*D21/100</f>
        <v>23.04653423059757</v>
      </c>
    </row>
    <row r="22" spans="1:6" ht="19.5" customHeight="1">
      <c r="A22" s="29" t="s">
        <v>60</v>
      </c>
      <c r="B22" s="29" t="s">
        <v>297</v>
      </c>
      <c r="C22" s="29"/>
      <c r="D22" s="29"/>
      <c r="E22" s="29"/>
      <c r="F22" s="31" t="e">
        <f>SUM(D18*'台时-1'!J5/1000*(#REF!-2990))</f>
        <v>#REF!</v>
      </c>
    </row>
    <row r="23" spans="1:6" ht="19.5" customHeight="1">
      <c r="A23" s="29" t="s">
        <v>62</v>
      </c>
      <c r="B23" s="29" t="s">
        <v>167</v>
      </c>
      <c r="C23" s="29" t="s">
        <v>156</v>
      </c>
      <c r="D23" s="29">
        <v>9</v>
      </c>
      <c r="E23" s="29"/>
      <c r="F23" s="31" t="e">
        <f>(F9+F20+F21+F22)*D23/100</f>
        <v>#REF!</v>
      </c>
    </row>
    <row r="24" spans="1:6" ht="19.5" customHeight="1" hidden="1">
      <c r="A24" s="29"/>
      <c r="B24" s="29"/>
      <c r="C24" s="29"/>
      <c r="D24" s="29"/>
      <c r="E24" s="29"/>
      <c r="F24" s="31"/>
    </row>
    <row r="25" spans="1:6" ht="19.5" customHeight="1" hidden="1">
      <c r="A25" s="29"/>
      <c r="B25" s="29"/>
      <c r="C25" s="29"/>
      <c r="D25" s="29"/>
      <c r="E25" s="29"/>
      <c r="F25" s="31"/>
    </row>
    <row r="26" spans="1:6" ht="19.5" customHeight="1" hidden="1">
      <c r="A26" s="29"/>
      <c r="B26" s="29"/>
      <c r="C26" s="29"/>
      <c r="D26" s="29"/>
      <c r="E26" s="29"/>
      <c r="F26" s="31"/>
    </row>
    <row r="27" spans="1:6" ht="19.5" customHeight="1" hidden="1">
      <c r="A27" s="29"/>
      <c r="B27" s="29"/>
      <c r="C27" s="29"/>
      <c r="D27" s="29"/>
      <c r="E27" s="29"/>
      <c r="F27" s="31"/>
    </row>
    <row r="28" spans="1:6" ht="19.5" customHeight="1">
      <c r="A28" s="29"/>
      <c r="B28" s="31" t="s">
        <v>276</v>
      </c>
      <c r="C28" s="29"/>
      <c r="D28" s="29"/>
      <c r="E28" s="29"/>
      <c r="F28" s="31" t="e">
        <f>F9+F20+F21+F22+F23</f>
        <v>#REF!</v>
      </c>
    </row>
    <row r="29" spans="1:8" ht="19.5" customHeight="1" hidden="1">
      <c r="A29" s="29"/>
      <c r="B29" s="31" t="s">
        <v>275</v>
      </c>
      <c r="C29" s="29"/>
      <c r="D29" s="29"/>
      <c r="E29" s="29"/>
      <c r="F29" s="31" t="e">
        <f>F28/100</f>
        <v>#REF!</v>
      </c>
      <c r="H29" s="293"/>
    </row>
    <row r="30" spans="1:6" ht="19.5" customHeight="1">
      <c r="A30" s="29"/>
      <c r="B30" s="31"/>
      <c r="C30" s="29"/>
      <c r="D30" s="29"/>
      <c r="E30" s="29"/>
      <c r="F30" s="31"/>
    </row>
    <row r="31" spans="1:6" ht="19.5" customHeight="1">
      <c r="A31" s="29"/>
      <c r="B31" s="31"/>
      <c r="C31" s="29"/>
      <c r="D31" s="29"/>
      <c r="E31" s="29"/>
      <c r="F31" s="31"/>
    </row>
    <row r="32" spans="1:6" ht="19.5" customHeight="1">
      <c r="A32" s="29"/>
      <c r="B32" s="31"/>
      <c r="C32" s="29"/>
      <c r="D32" s="29"/>
      <c r="E32" s="29"/>
      <c r="F32" s="3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4">
    <mergeCell ref="A1:F1"/>
    <mergeCell ref="B3:D3"/>
    <mergeCell ref="B4:D4"/>
    <mergeCell ref="A5:F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&amp;C-&amp;P--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F29"/>
  <sheetViews>
    <sheetView zoomScale="115" zoomScaleNormal="115" workbookViewId="0" topLeftCell="A11">
      <selection activeCell="D18" sqref="D18"/>
    </sheetView>
  </sheetViews>
  <sheetFormatPr defaultColWidth="8.625" defaultRowHeight="14.25"/>
  <cols>
    <col min="1" max="1" width="7.25390625" style="245" customWidth="1"/>
    <col min="2" max="2" width="20.00390625" style="245" customWidth="1"/>
    <col min="3" max="3" width="11.50390625" style="245" customWidth="1"/>
    <col min="4" max="4" width="11.125" style="245" customWidth="1"/>
    <col min="5" max="5" width="10.00390625" style="245" customWidth="1"/>
    <col min="6" max="6" width="16.00390625" style="245" customWidth="1"/>
    <col min="7" max="32" width="9.00390625" style="245" bestFit="1" customWidth="1"/>
    <col min="33" max="16384" width="8.625" style="245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368</v>
      </c>
      <c r="C3" s="465"/>
      <c r="D3" s="465"/>
      <c r="E3" s="29" t="s">
        <v>38</v>
      </c>
      <c r="F3" s="180" t="s">
        <v>367</v>
      </c>
    </row>
    <row r="4" spans="1:6" ht="21" customHeight="1">
      <c r="A4" s="29" t="s">
        <v>251</v>
      </c>
      <c r="B4" s="465">
        <v>30072</v>
      </c>
      <c r="C4" s="465"/>
      <c r="D4" s="465"/>
      <c r="E4" s="29" t="s">
        <v>43</v>
      </c>
      <c r="F4" s="29" t="s">
        <v>345</v>
      </c>
    </row>
    <row r="5" spans="1:6" ht="19.5" customHeight="1">
      <c r="A5" s="465" t="s">
        <v>369</v>
      </c>
      <c r="B5" s="465"/>
      <c r="C5" s="465"/>
      <c r="D5" s="465"/>
      <c r="E5" s="465"/>
      <c r="F5" s="465"/>
    </row>
    <row r="6" spans="1:6" ht="19.5" customHeight="1">
      <c r="A6" s="465"/>
      <c r="B6" s="465"/>
      <c r="C6" s="465"/>
      <c r="D6" s="465"/>
      <c r="E6" s="465"/>
      <c r="F6" s="465"/>
    </row>
    <row r="7" spans="1:6" ht="13.5" customHeight="1">
      <c r="A7" s="465"/>
      <c r="B7" s="465"/>
      <c r="C7" s="465"/>
      <c r="D7" s="465"/>
      <c r="E7" s="465"/>
      <c r="F7" s="465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>
        <f>F10+F17</f>
        <v>6690.1245014999995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>
        <f>F11+F15</f>
        <v>6081.9313649999995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SUM(F12:F14)</f>
        <v>6051.673</v>
      </c>
    </row>
    <row r="12" spans="1:6" ht="19.5" customHeight="1">
      <c r="A12" s="29"/>
      <c r="B12" s="29" t="s">
        <v>262</v>
      </c>
      <c r="C12" s="29" t="s">
        <v>291</v>
      </c>
      <c r="D12" s="29">
        <v>18.6</v>
      </c>
      <c r="E12" s="31">
        <f>'工长'!G20</f>
        <v>11.98</v>
      </c>
      <c r="F12" s="32">
        <f>D12*E12</f>
        <v>222.82800000000003</v>
      </c>
    </row>
    <row r="13" spans="1:6" ht="19.5" customHeight="1" hidden="1">
      <c r="A13" s="29"/>
      <c r="B13" s="29" t="s">
        <v>265</v>
      </c>
      <c r="C13" s="29" t="s">
        <v>291</v>
      </c>
      <c r="D13" s="29">
        <v>0</v>
      </c>
      <c r="E13" s="31">
        <f>'中级工'!G20</f>
        <v>9.33</v>
      </c>
      <c r="F13" s="32">
        <f>D13*E13</f>
        <v>0</v>
      </c>
    </row>
    <row r="14" spans="1:6" ht="19.5" customHeight="1">
      <c r="A14" s="29"/>
      <c r="B14" s="29" t="s">
        <v>266</v>
      </c>
      <c r="C14" s="29" t="s">
        <v>291</v>
      </c>
      <c r="D14" s="33">
        <v>889.9</v>
      </c>
      <c r="E14" s="31">
        <f>'初级工'!G20</f>
        <v>6.55</v>
      </c>
      <c r="F14" s="32">
        <f>D14*E14</f>
        <v>5828.844999999999</v>
      </c>
    </row>
    <row r="15" spans="1:6" ht="19.5" customHeight="1">
      <c r="A15" s="29">
        <v>2</v>
      </c>
      <c r="B15" s="29" t="s">
        <v>163</v>
      </c>
      <c r="C15" s="29"/>
      <c r="D15" s="33"/>
      <c r="E15" s="31"/>
      <c r="F15" s="31">
        <f>SUM(F16:F16)</f>
        <v>30.258364999999998</v>
      </c>
    </row>
    <row r="16" spans="1:6" ht="19.5" customHeight="1">
      <c r="A16" s="29"/>
      <c r="B16" s="29" t="s">
        <v>316</v>
      </c>
      <c r="C16" s="29" t="s">
        <v>156</v>
      </c>
      <c r="D16" s="33">
        <v>0.5</v>
      </c>
      <c r="E16" s="35"/>
      <c r="F16" s="31">
        <f>(F11)*D16/100</f>
        <v>30.258364999999998</v>
      </c>
    </row>
    <row r="17" spans="1:6" ht="19.5" customHeight="1">
      <c r="A17" s="29" t="s">
        <v>57</v>
      </c>
      <c r="B17" s="29" t="s">
        <v>165</v>
      </c>
      <c r="C17" s="29" t="s">
        <v>156</v>
      </c>
      <c r="D17" s="29">
        <v>10</v>
      </c>
      <c r="E17" s="29"/>
      <c r="F17" s="31">
        <f>F10*D17/100</f>
        <v>608.1931364999999</v>
      </c>
    </row>
    <row r="18" spans="1:6" ht="19.5" customHeight="1">
      <c r="A18" s="29" t="s">
        <v>13</v>
      </c>
      <c r="B18" s="29" t="s">
        <v>166</v>
      </c>
      <c r="C18" s="29" t="s">
        <v>156</v>
      </c>
      <c r="D18" s="29">
        <v>12.5</v>
      </c>
      <c r="E18" s="29"/>
      <c r="F18" s="31">
        <f>F9*D18/100</f>
        <v>836.2655626874999</v>
      </c>
    </row>
    <row r="19" spans="1:6" ht="19.5" customHeight="1">
      <c r="A19" s="29" t="s">
        <v>21</v>
      </c>
      <c r="B19" s="29" t="s">
        <v>296</v>
      </c>
      <c r="C19" s="29" t="s">
        <v>156</v>
      </c>
      <c r="D19" s="29">
        <v>7</v>
      </c>
      <c r="E19" s="29"/>
      <c r="F19" s="31">
        <f>(F9+F18)*D19/100</f>
        <v>526.847304493125</v>
      </c>
    </row>
    <row r="20" spans="1:6" ht="19.5" customHeight="1">
      <c r="A20" s="29" t="s">
        <v>60</v>
      </c>
      <c r="B20" s="29" t="s">
        <v>297</v>
      </c>
      <c r="C20" s="29"/>
      <c r="D20" s="29"/>
      <c r="E20" s="29"/>
      <c r="F20" s="31"/>
    </row>
    <row r="21" spans="1:6" ht="19.5" customHeight="1">
      <c r="A21" s="29" t="s">
        <v>62</v>
      </c>
      <c r="B21" s="29" t="s">
        <v>167</v>
      </c>
      <c r="C21" s="29" t="s">
        <v>156</v>
      </c>
      <c r="D21" s="29">
        <v>9</v>
      </c>
      <c r="E21" s="29"/>
      <c r="F21" s="31">
        <f>(F9+F18+F19+F20)*D21/100</f>
        <v>724.7913631812563</v>
      </c>
    </row>
    <row r="22" spans="1:6" ht="19.5" customHeight="1" hidden="1">
      <c r="A22" s="29"/>
      <c r="B22" s="29"/>
      <c r="C22" s="29"/>
      <c r="D22" s="29"/>
      <c r="E22" s="29"/>
      <c r="F22" s="31"/>
    </row>
    <row r="23" spans="1:6" ht="19.5" customHeight="1" hidden="1">
      <c r="A23" s="29"/>
      <c r="B23" s="29"/>
      <c r="C23" s="43"/>
      <c r="D23" s="33"/>
      <c r="E23" s="32"/>
      <c r="F23" s="31"/>
    </row>
    <row r="24" spans="1:6" ht="19.5" customHeight="1" hidden="1">
      <c r="A24" s="29"/>
      <c r="B24" s="29"/>
      <c r="C24" s="29"/>
      <c r="D24" s="29"/>
      <c r="E24" s="29"/>
      <c r="F24" s="31"/>
    </row>
    <row r="25" spans="1:6" ht="19.5" customHeight="1" hidden="1">
      <c r="A25" s="29"/>
      <c r="B25" s="29"/>
      <c r="C25" s="29"/>
      <c r="D25" s="29"/>
      <c r="E25" s="29"/>
      <c r="F25" s="31"/>
    </row>
    <row r="26" spans="1:6" ht="19.5" customHeight="1" hidden="1">
      <c r="A26" s="29"/>
      <c r="B26" s="29"/>
      <c r="C26" s="29"/>
      <c r="D26" s="29"/>
      <c r="E26" s="29"/>
      <c r="F26" s="31"/>
    </row>
    <row r="27" spans="1:6" ht="19.5" customHeight="1">
      <c r="A27" s="29"/>
      <c r="B27" s="31" t="s">
        <v>276</v>
      </c>
      <c r="C27" s="29"/>
      <c r="D27" s="29"/>
      <c r="E27" s="29"/>
      <c r="F27" s="31">
        <f>SUM(F9+F18+F19+F21+F20)</f>
        <v>8778.028731861881</v>
      </c>
    </row>
    <row r="28" spans="1:6" ht="19.5" customHeight="1">
      <c r="A28" s="29"/>
      <c r="B28" s="31"/>
      <c r="C28" s="29"/>
      <c r="D28" s="29"/>
      <c r="E28" s="29"/>
      <c r="F28" s="31"/>
    </row>
    <row r="29" spans="1:6" ht="19.5" customHeight="1">
      <c r="A29" s="29"/>
      <c r="B29" s="40"/>
      <c r="C29" s="40"/>
      <c r="D29" s="40"/>
      <c r="E29" s="40"/>
      <c r="F29" s="41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4">
    <mergeCell ref="A1:F1"/>
    <mergeCell ref="B3:D3"/>
    <mergeCell ref="B4:D4"/>
    <mergeCell ref="A5:F7"/>
  </mergeCells>
  <printOptions/>
  <pageMargins left="0.9055118110236221" right="0.7086614173228347" top="0.7480314960629921" bottom="0.7480314960629921" header="0.31496062992125984" footer="0.5118110236220472"/>
  <pageSetup horizontalDpi="600" verticalDpi="600" orientation="portrait" paperSize="9"/>
  <headerFooter>
    <oddFooter>&amp;C-&amp;P--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H40"/>
  <sheetViews>
    <sheetView zoomScale="130" zoomScaleNormal="130" workbookViewId="0" topLeftCell="A22">
      <selection activeCell="D28" sqref="D28"/>
    </sheetView>
  </sheetViews>
  <sheetFormatPr defaultColWidth="8.625" defaultRowHeight="14.25"/>
  <cols>
    <col min="1" max="1" width="6.25390625" style="27" customWidth="1"/>
    <col min="2" max="2" width="21.37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370</v>
      </c>
      <c r="C3" s="465"/>
      <c r="D3" s="465"/>
      <c r="E3" s="29" t="s">
        <v>38</v>
      </c>
      <c r="F3" s="180" t="s">
        <v>371</v>
      </c>
    </row>
    <row r="4" spans="1:6" ht="21" customHeight="1">
      <c r="A4" s="29" t="s">
        <v>251</v>
      </c>
      <c r="B4" s="465" t="s">
        <v>372</v>
      </c>
      <c r="C4" s="466"/>
      <c r="D4" s="466"/>
      <c r="E4" s="29" t="s">
        <v>43</v>
      </c>
      <c r="F4" s="29" t="s">
        <v>373</v>
      </c>
    </row>
    <row r="5" spans="1:6" ht="19.5" customHeight="1">
      <c r="A5" s="465" t="s">
        <v>374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 t="e">
        <f>F10+F27</f>
        <v>#REF!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 t="e">
        <f>F11+F16+F24</f>
        <v>#REF!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SUM(F12:F15)</f>
        <v>294.43280000000004</v>
      </c>
    </row>
    <row r="12" spans="1:6" ht="19.5" customHeight="1">
      <c r="A12" s="29"/>
      <c r="B12" s="29" t="s">
        <v>262</v>
      </c>
      <c r="C12" s="29" t="s">
        <v>291</v>
      </c>
      <c r="D12" s="33">
        <f>3.9*8*0.1</f>
        <v>3.12</v>
      </c>
      <c r="E12" s="31">
        <f>'工长'!G20</f>
        <v>11.98</v>
      </c>
      <c r="F12" s="31">
        <f>D12*E12</f>
        <v>37.3776</v>
      </c>
    </row>
    <row r="13" spans="1:6" ht="19.5" customHeight="1">
      <c r="A13" s="29"/>
      <c r="B13" s="29" t="s">
        <v>264</v>
      </c>
      <c r="C13" s="29" t="s">
        <v>291</v>
      </c>
      <c r="D13" s="33">
        <f>3.9*8*0.2</f>
        <v>6.24</v>
      </c>
      <c r="E13" s="31">
        <v>7.7</v>
      </c>
      <c r="F13" s="31">
        <f>D13*E13</f>
        <v>48.048</v>
      </c>
    </row>
    <row r="14" spans="1:6" ht="19.5" customHeight="1">
      <c r="A14" s="29"/>
      <c r="B14" s="29" t="s">
        <v>265</v>
      </c>
      <c r="C14" s="29" t="s">
        <v>291</v>
      </c>
      <c r="D14" s="33">
        <f>3.9*8*0.7</f>
        <v>21.84</v>
      </c>
      <c r="E14" s="31">
        <f>'中级工'!G20</f>
        <v>9.33</v>
      </c>
      <c r="F14" s="31">
        <f>D14*E14</f>
        <v>203.7672</v>
      </c>
    </row>
    <row r="15" spans="1:6" ht="19.5" customHeight="1">
      <c r="A15" s="29"/>
      <c r="B15" s="29" t="s">
        <v>266</v>
      </c>
      <c r="C15" s="29" t="s">
        <v>291</v>
      </c>
      <c r="D15" s="33">
        <f>0.1*8</f>
        <v>0.8</v>
      </c>
      <c r="E15" s="31">
        <f>'初级工'!G20</f>
        <v>6.55</v>
      </c>
      <c r="F15" s="31">
        <f>D15*E15</f>
        <v>5.24</v>
      </c>
    </row>
    <row r="16" spans="1:8" ht="19.5" customHeight="1">
      <c r="A16" s="29">
        <v>2</v>
      </c>
      <c r="B16" s="29" t="s">
        <v>375</v>
      </c>
      <c r="C16" s="29"/>
      <c r="D16" s="33"/>
      <c r="E16" s="31"/>
      <c r="F16" s="31" t="e">
        <f>SUM(F17:F23)</f>
        <v>#REF!</v>
      </c>
      <c r="H16" s="42"/>
    </row>
    <row r="17" spans="1:8" ht="28.5">
      <c r="A17" s="29"/>
      <c r="B17" s="291" t="s">
        <v>376</v>
      </c>
      <c r="C17" s="29" t="s">
        <v>75</v>
      </c>
      <c r="D17" s="33">
        <v>101</v>
      </c>
      <c r="E17" s="31">
        <v>34.5</v>
      </c>
      <c r="F17" s="31">
        <f aca="true" t="shared" si="0" ref="F17:F22">D17*E17</f>
        <v>3484.5</v>
      </c>
      <c r="H17" s="42"/>
    </row>
    <row r="18" spans="1:8" ht="19.5" customHeight="1">
      <c r="A18" s="29"/>
      <c r="B18" s="29" t="s">
        <v>377</v>
      </c>
      <c r="C18" s="29" t="s">
        <v>330</v>
      </c>
      <c r="D18" s="33">
        <v>1.6</v>
      </c>
      <c r="E18" s="31">
        <v>6</v>
      </c>
      <c r="F18" s="31">
        <f t="shared" si="0"/>
        <v>9.600000000000001</v>
      </c>
      <c r="H18" s="42"/>
    </row>
    <row r="19" spans="1:8" ht="19.5" customHeight="1">
      <c r="A19" s="29"/>
      <c r="B19" s="29" t="s">
        <v>204</v>
      </c>
      <c r="C19" s="29" t="s">
        <v>330</v>
      </c>
      <c r="D19" s="33">
        <v>0.8</v>
      </c>
      <c r="E19" s="31" t="e">
        <f>#REF!/1000</f>
        <v>#REF!</v>
      </c>
      <c r="F19" s="31" t="e">
        <f t="shared" si="0"/>
        <v>#REF!</v>
      </c>
      <c r="H19" s="42"/>
    </row>
    <row r="20" spans="1:8" ht="19.5" customHeight="1">
      <c r="A20" s="29"/>
      <c r="B20" s="29" t="s">
        <v>378</v>
      </c>
      <c r="C20" s="29" t="s">
        <v>330</v>
      </c>
      <c r="D20" s="33">
        <v>0.1</v>
      </c>
      <c r="E20" s="31">
        <v>20</v>
      </c>
      <c r="F20" s="31">
        <f t="shared" si="0"/>
        <v>2</v>
      </c>
      <c r="H20" s="42"/>
    </row>
    <row r="21" spans="1:6" ht="19.5" customHeight="1">
      <c r="A21" s="29"/>
      <c r="B21" s="29" t="s">
        <v>379</v>
      </c>
      <c r="C21" s="29" t="s">
        <v>302</v>
      </c>
      <c r="D21" s="33">
        <v>23.4</v>
      </c>
      <c r="E21" s="31">
        <v>5.83</v>
      </c>
      <c r="F21" s="31">
        <f t="shared" si="0"/>
        <v>136.422</v>
      </c>
    </row>
    <row r="22" spans="1:6" ht="19.5" customHeight="1">
      <c r="A22" s="29"/>
      <c r="B22" s="29" t="s">
        <v>380</v>
      </c>
      <c r="C22" s="29" t="s">
        <v>381</v>
      </c>
      <c r="D22" s="33">
        <v>8</v>
      </c>
      <c r="E22" s="31">
        <v>10</v>
      </c>
      <c r="F22" s="31">
        <f t="shared" si="0"/>
        <v>80</v>
      </c>
    </row>
    <row r="23" spans="1:6" ht="19.5" customHeight="1">
      <c r="A23" s="290"/>
      <c r="B23" s="29" t="s">
        <v>315</v>
      </c>
      <c r="C23" s="29" t="s">
        <v>156</v>
      </c>
      <c r="D23" s="33">
        <v>1.6</v>
      </c>
      <c r="E23" s="31" t="e">
        <f>SUM(F17:F22)</f>
        <v>#REF!</v>
      </c>
      <c r="F23" s="31" t="e">
        <f>E23*D23/100</f>
        <v>#REF!</v>
      </c>
    </row>
    <row r="24" spans="1:6" ht="19.5" customHeight="1">
      <c r="A24" s="29">
        <v>3</v>
      </c>
      <c r="B24" s="29" t="s">
        <v>164</v>
      </c>
      <c r="C24" s="29"/>
      <c r="D24" s="34"/>
      <c r="E24" s="35"/>
      <c r="F24" s="31">
        <f>SUM(F25:F26)</f>
        <v>46.78501307136479</v>
      </c>
    </row>
    <row r="25" spans="1:6" ht="19.5" customHeight="1">
      <c r="A25" s="290"/>
      <c r="B25" s="29" t="s">
        <v>230</v>
      </c>
      <c r="C25" s="29" t="s">
        <v>179</v>
      </c>
      <c r="D25" s="33">
        <f>0.05*8</f>
        <v>0.4</v>
      </c>
      <c r="E25" s="31">
        <f>'台时-3'!C12</f>
        <v>65.8541237314281</v>
      </c>
      <c r="F25" s="31">
        <f>D25*E25</f>
        <v>26.341649492571243</v>
      </c>
    </row>
    <row r="26" spans="1:6" ht="19.5" customHeight="1">
      <c r="A26" s="290"/>
      <c r="B26" s="29" t="s">
        <v>223</v>
      </c>
      <c r="C26" s="29" t="s">
        <v>179</v>
      </c>
      <c r="D26" s="33">
        <f>0.05*8</f>
        <v>0.4</v>
      </c>
      <c r="E26" s="31">
        <f>'台时-2'!C13</f>
        <v>51.10840894698385</v>
      </c>
      <c r="F26" s="31">
        <f>D26*E26</f>
        <v>20.44336357879354</v>
      </c>
    </row>
    <row r="27" spans="1:6" ht="19.5" customHeight="1">
      <c r="A27" s="29" t="s">
        <v>57</v>
      </c>
      <c r="B27" s="29" t="s">
        <v>165</v>
      </c>
      <c r="C27" s="29" t="s">
        <v>156</v>
      </c>
      <c r="D27" s="29">
        <v>10.5</v>
      </c>
      <c r="E27" s="244" t="e">
        <f>F10-F17</f>
        <v>#REF!</v>
      </c>
      <c r="F27" s="31" t="e">
        <f>D27*E27/100</f>
        <v>#REF!</v>
      </c>
    </row>
    <row r="28" spans="1:6" ht="19.5" customHeight="1">
      <c r="A28" s="29" t="s">
        <v>13</v>
      </c>
      <c r="B28" s="29" t="s">
        <v>166</v>
      </c>
      <c r="C28" s="29" t="s">
        <v>156</v>
      </c>
      <c r="D28" s="29">
        <v>10.5</v>
      </c>
      <c r="E28" s="32" t="e">
        <f>F9-F17</f>
        <v>#REF!</v>
      </c>
      <c r="F28" s="31" t="e">
        <f>D28*E28/100</f>
        <v>#REF!</v>
      </c>
    </row>
    <row r="29" spans="1:6" ht="19.5" customHeight="1">
      <c r="A29" s="29" t="s">
        <v>21</v>
      </c>
      <c r="B29" s="29" t="s">
        <v>296</v>
      </c>
      <c r="C29" s="29" t="s">
        <v>156</v>
      </c>
      <c r="D29" s="29">
        <v>7</v>
      </c>
      <c r="E29" s="32" t="e">
        <f>E28+F28</f>
        <v>#REF!</v>
      </c>
      <c r="F29" s="31" t="e">
        <f>E29*D29/100</f>
        <v>#REF!</v>
      </c>
    </row>
    <row r="30" spans="1:6" ht="19.5" customHeight="1">
      <c r="A30" s="29" t="s">
        <v>60</v>
      </c>
      <c r="B30" s="29" t="s">
        <v>297</v>
      </c>
      <c r="C30" s="29"/>
      <c r="D30" s="29"/>
      <c r="E30" s="29"/>
      <c r="F30" s="31"/>
    </row>
    <row r="31" spans="1:6" ht="19.5" customHeight="1">
      <c r="A31" s="29" t="s">
        <v>62</v>
      </c>
      <c r="B31" s="29" t="s">
        <v>167</v>
      </c>
      <c r="C31" s="29" t="s">
        <v>156</v>
      </c>
      <c r="D31" s="29">
        <v>9</v>
      </c>
      <c r="E31" s="32" t="e">
        <f>F9+F28+F29</f>
        <v>#REF!</v>
      </c>
      <c r="F31" s="31" t="e">
        <f>D31*E31/100</f>
        <v>#REF!</v>
      </c>
    </row>
    <row r="32" spans="1:6" ht="19.5" customHeight="1" hidden="1">
      <c r="A32" s="29"/>
      <c r="B32" s="29"/>
      <c r="C32" s="29"/>
      <c r="D32" s="29"/>
      <c r="E32" s="29"/>
      <c r="F32" s="31"/>
    </row>
    <row r="33" spans="1:6" ht="19.5" customHeight="1" hidden="1">
      <c r="A33" s="29"/>
      <c r="B33" s="29"/>
      <c r="C33" s="29"/>
      <c r="D33" s="29"/>
      <c r="E33" s="29"/>
      <c r="F33" s="31"/>
    </row>
    <row r="34" spans="1:6" ht="19.5" customHeight="1" hidden="1">
      <c r="A34" s="29"/>
      <c r="B34" s="29"/>
      <c r="C34" s="29"/>
      <c r="D34" s="29"/>
      <c r="E34" s="29"/>
      <c r="F34" s="31"/>
    </row>
    <row r="35" spans="1:6" ht="19.5" customHeight="1" hidden="1">
      <c r="A35" s="29"/>
      <c r="B35" s="29"/>
      <c r="C35" s="29"/>
      <c r="D35" s="29"/>
      <c r="E35" s="29"/>
      <c r="F35" s="31"/>
    </row>
    <row r="36" spans="1:6" ht="19.5" customHeight="1" hidden="1">
      <c r="A36" s="29"/>
      <c r="B36" s="29"/>
      <c r="C36" s="29"/>
      <c r="D36" s="29"/>
      <c r="E36" s="29"/>
      <c r="F36" s="31"/>
    </row>
    <row r="37" spans="1:6" ht="19.5" customHeight="1" hidden="1">
      <c r="A37" s="29"/>
      <c r="B37" s="29"/>
      <c r="C37" s="29"/>
      <c r="D37" s="29"/>
      <c r="E37" s="29"/>
      <c r="F37" s="31"/>
    </row>
    <row r="38" spans="1:6" ht="19.5" customHeight="1">
      <c r="A38" s="29"/>
      <c r="B38" s="31" t="s">
        <v>276</v>
      </c>
      <c r="C38" s="29"/>
      <c r="D38" s="29"/>
      <c r="E38" s="29"/>
      <c r="F38" s="31" t="e">
        <f>E31+F31</f>
        <v>#REF!</v>
      </c>
    </row>
    <row r="39" spans="1:6" ht="19.5" customHeight="1" hidden="1">
      <c r="A39" s="29"/>
      <c r="B39" s="31" t="s">
        <v>275</v>
      </c>
      <c r="C39" s="29"/>
      <c r="D39" s="29"/>
      <c r="E39" s="29"/>
      <c r="F39" s="31" t="e">
        <f>F38/100</f>
        <v>#REF!</v>
      </c>
    </row>
    <row r="40" spans="1:6" ht="19.5" customHeight="1">
      <c r="A40" s="39"/>
      <c r="B40" s="40"/>
      <c r="C40" s="40"/>
      <c r="D40" s="40"/>
      <c r="E40" s="40"/>
      <c r="F40" s="4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4">
    <mergeCell ref="A1:F1"/>
    <mergeCell ref="B3:D3"/>
    <mergeCell ref="B4:D4"/>
    <mergeCell ref="A5:F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Roman,常规"-&amp;P--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</sheetPr>
  <dimension ref="A1:H37"/>
  <sheetViews>
    <sheetView zoomScale="130" zoomScaleNormal="130" workbookViewId="0" topLeftCell="A1">
      <selection activeCell="F34" sqref="F34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169</v>
      </c>
      <c r="C3" s="465"/>
      <c r="D3" s="465"/>
      <c r="E3" s="29" t="s">
        <v>38</v>
      </c>
      <c r="F3" s="180" t="s">
        <v>384</v>
      </c>
    </row>
    <row r="4" spans="1:6" ht="21" customHeight="1">
      <c r="A4" s="29" t="s">
        <v>251</v>
      </c>
      <c r="B4" s="466">
        <v>30001</v>
      </c>
      <c r="C4" s="466"/>
      <c r="D4" s="466"/>
      <c r="E4" s="29" t="s">
        <v>43</v>
      </c>
      <c r="F4" s="29" t="s">
        <v>388</v>
      </c>
    </row>
    <row r="5" spans="1:6" ht="19.5" customHeight="1">
      <c r="A5" s="465" t="s">
        <v>386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>
        <f>F10+F23</f>
        <v>3049.493343344723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>
        <f>F11+F16+F20</f>
        <v>2772.2666757679303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SUM(F12:F15)</f>
        <v>662.82576</v>
      </c>
    </row>
    <row r="12" spans="1:6" ht="19.5" customHeight="1">
      <c r="A12" s="29"/>
      <c r="B12" s="29" t="s">
        <v>262</v>
      </c>
      <c r="C12" s="29" t="s">
        <v>291</v>
      </c>
      <c r="D12" s="33">
        <f>(1.71+0.17*15)*8/10</f>
        <v>3.408</v>
      </c>
      <c r="E12" s="31">
        <f>'工长'!G20</f>
        <v>11.98</v>
      </c>
      <c r="F12" s="32">
        <f>D12*E12</f>
        <v>40.82784</v>
      </c>
    </row>
    <row r="13" spans="1:6" ht="19.5" customHeight="1">
      <c r="A13" s="29"/>
      <c r="B13" s="227" t="s">
        <v>264</v>
      </c>
      <c r="C13" s="227" t="s">
        <v>291</v>
      </c>
      <c r="D13" s="33">
        <f>D12*2</f>
        <v>6.816</v>
      </c>
      <c r="E13" s="31">
        <f>'挡土墙砼'!E13</f>
        <v>11.09</v>
      </c>
      <c r="F13" s="32">
        <f>D13*E13</f>
        <v>75.58944</v>
      </c>
    </row>
    <row r="14" spans="1:6" ht="19.5" customHeight="1">
      <c r="A14" s="29"/>
      <c r="B14" s="227" t="s">
        <v>265</v>
      </c>
      <c r="C14" s="227" t="s">
        <v>291</v>
      </c>
      <c r="D14" s="33">
        <f>D12*7</f>
        <v>23.855999999999998</v>
      </c>
      <c r="E14" s="31">
        <f>'挡土墙砼'!E14</f>
        <v>9.33</v>
      </c>
      <c r="F14" s="32">
        <f>D14*E14</f>
        <v>222.57647999999998</v>
      </c>
    </row>
    <row r="15" spans="1:8" ht="19.5" customHeight="1">
      <c r="A15" s="29"/>
      <c r="B15" s="29" t="s">
        <v>266</v>
      </c>
      <c r="C15" s="29" t="s">
        <v>291</v>
      </c>
      <c r="D15" s="33">
        <f>(2.58+0.24*15)*8</f>
        <v>49.44</v>
      </c>
      <c r="E15" s="31">
        <f>'初级工'!G20</f>
        <v>6.55</v>
      </c>
      <c r="F15" s="31">
        <f>D15*E15</f>
        <v>323.832</v>
      </c>
      <c r="H15" s="42"/>
    </row>
    <row r="16" spans="1:6" ht="19.5" customHeight="1">
      <c r="A16" s="29">
        <v>2</v>
      </c>
      <c r="B16" s="29" t="s">
        <v>163</v>
      </c>
      <c r="C16" s="29"/>
      <c r="D16" s="33"/>
      <c r="E16" s="31"/>
      <c r="F16" s="31">
        <f>SUM(F17:F19)</f>
        <v>2039.4465</v>
      </c>
    </row>
    <row r="17" spans="1:6" ht="19.5" customHeight="1" hidden="1">
      <c r="A17" s="29"/>
      <c r="B17" s="29" t="s">
        <v>267</v>
      </c>
      <c r="C17" s="43" t="s">
        <v>196</v>
      </c>
      <c r="D17" s="33">
        <v>0</v>
      </c>
      <c r="E17" s="31">
        <v>70</v>
      </c>
      <c r="F17" s="31">
        <f>D17*E17</f>
        <v>0</v>
      </c>
    </row>
    <row r="18" spans="1:6" ht="19.5" customHeight="1">
      <c r="A18" s="29"/>
      <c r="B18" s="29" t="s">
        <v>387</v>
      </c>
      <c r="C18" s="43" t="s">
        <v>196</v>
      </c>
      <c r="D18" s="33">
        <f>11.59+1.16*15</f>
        <v>28.99</v>
      </c>
      <c r="E18" s="31">
        <v>70</v>
      </c>
      <c r="F18" s="31">
        <f>D18*E18</f>
        <v>2029.3</v>
      </c>
    </row>
    <row r="19" spans="1:6" ht="19.5" customHeight="1">
      <c r="A19" s="29"/>
      <c r="B19" s="29" t="s">
        <v>315</v>
      </c>
      <c r="C19" s="29" t="s">
        <v>156</v>
      </c>
      <c r="D19" s="33">
        <v>0.5</v>
      </c>
      <c r="E19" s="35"/>
      <c r="F19" s="31">
        <f>(F17+F18)*D19/100</f>
        <v>10.1465</v>
      </c>
    </row>
    <row r="20" spans="1:6" ht="19.5" customHeight="1">
      <c r="A20" s="29">
        <v>3</v>
      </c>
      <c r="B20" s="29" t="s">
        <v>164</v>
      </c>
      <c r="C20" s="29"/>
      <c r="D20" s="33"/>
      <c r="E20" s="35"/>
      <c r="F20" s="31">
        <f>SUM(F21:F22)</f>
        <v>69.9944157679305</v>
      </c>
    </row>
    <row r="21" spans="1:6" ht="19.5" customHeight="1">
      <c r="A21" s="29"/>
      <c r="B21" s="29" t="s">
        <v>389</v>
      </c>
      <c r="C21" s="29" t="s">
        <v>179</v>
      </c>
      <c r="D21" s="33">
        <f>0.13*8</f>
        <v>1.04</v>
      </c>
      <c r="E21" s="31">
        <f>'台时-4'!C22</f>
        <v>66.63596322156369</v>
      </c>
      <c r="F21" s="31">
        <f>D21*E21</f>
        <v>69.30140175042624</v>
      </c>
    </row>
    <row r="22" spans="1:6" ht="19.5" customHeight="1">
      <c r="A22" s="29"/>
      <c r="B22" s="29" t="s">
        <v>318</v>
      </c>
      <c r="C22" s="29" t="s">
        <v>156</v>
      </c>
      <c r="D22" s="33">
        <v>1</v>
      </c>
      <c r="E22" s="35"/>
      <c r="F22" s="31">
        <f>F21*D22/100</f>
        <v>0.6930140175042624</v>
      </c>
    </row>
    <row r="23" spans="1:6" ht="19.5" customHeight="1">
      <c r="A23" s="29" t="s">
        <v>57</v>
      </c>
      <c r="B23" s="29" t="s">
        <v>165</v>
      </c>
      <c r="C23" s="29" t="s">
        <v>156</v>
      </c>
      <c r="D23" s="29">
        <v>10</v>
      </c>
      <c r="E23" s="29"/>
      <c r="F23" s="31">
        <f>F10*D23/100</f>
        <v>277.22666757679303</v>
      </c>
    </row>
    <row r="24" spans="1:6" ht="19.5" customHeight="1">
      <c r="A24" s="29" t="s">
        <v>13</v>
      </c>
      <c r="B24" s="29" t="s">
        <v>166</v>
      </c>
      <c r="C24" s="29" t="s">
        <v>156</v>
      </c>
      <c r="D24" s="29">
        <v>12.5</v>
      </c>
      <c r="E24" s="29"/>
      <c r="F24" s="31">
        <f>F9*D24/100</f>
        <v>381.1866679180904</v>
      </c>
    </row>
    <row r="25" spans="1:6" ht="19.5" customHeight="1">
      <c r="A25" s="29" t="s">
        <v>21</v>
      </c>
      <c r="B25" s="29" t="s">
        <v>296</v>
      </c>
      <c r="C25" s="29" t="s">
        <v>156</v>
      </c>
      <c r="D25" s="29">
        <v>7</v>
      </c>
      <c r="E25" s="29"/>
      <c r="F25" s="31">
        <f>(F9+F24)*D25/100</f>
        <v>240.14760078839697</v>
      </c>
    </row>
    <row r="26" spans="1:6" ht="19.5" customHeight="1">
      <c r="A26" s="29" t="s">
        <v>60</v>
      </c>
      <c r="B26" s="29" t="s">
        <v>297</v>
      </c>
      <c r="C26" s="29"/>
      <c r="D26" s="33"/>
      <c r="E26" s="31"/>
      <c r="F26" s="31" t="e">
        <f>D18*(#REF!-70)</f>
        <v>#REF!</v>
      </c>
    </row>
    <row r="27" spans="1:6" ht="19.5" customHeight="1">
      <c r="A27" s="29" t="s">
        <v>62</v>
      </c>
      <c r="B27" s="29" t="s">
        <v>167</v>
      </c>
      <c r="C27" s="29" t="s">
        <v>156</v>
      </c>
      <c r="D27" s="29">
        <v>9</v>
      </c>
      <c r="E27" s="29"/>
      <c r="F27" s="31" t="e">
        <f>(F9+F24+F25+F26)*D27/100</f>
        <v>#REF!</v>
      </c>
    </row>
    <row r="28" spans="1:6" ht="19.5" customHeight="1" hidden="1">
      <c r="A28" s="29"/>
      <c r="B28" s="29"/>
      <c r="C28" s="29"/>
      <c r="D28" s="29"/>
      <c r="E28" s="29"/>
      <c r="F28" s="31"/>
    </row>
    <row r="29" spans="1:6" ht="19.5" customHeight="1" hidden="1">
      <c r="A29" s="29"/>
      <c r="B29" s="29"/>
      <c r="C29" s="43"/>
      <c r="D29" s="33"/>
      <c r="E29" s="32"/>
      <c r="F29" s="31"/>
    </row>
    <row r="30" spans="1:6" ht="19.5" customHeight="1" hidden="1">
      <c r="A30" s="29"/>
      <c r="B30" s="29"/>
      <c r="C30" s="29"/>
      <c r="D30" s="29"/>
      <c r="E30" s="29"/>
      <c r="F30" s="31"/>
    </row>
    <row r="31" spans="1:6" ht="19.5" customHeight="1" hidden="1">
      <c r="A31" s="29"/>
      <c r="B31" s="29"/>
      <c r="C31" s="29"/>
      <c r="D31" s="29"/>
      <c r="E31" s="29"/>
      <c r="F31" s="31"/>
    </row>
    <row r="32" spans="1:6" ht="19.5" customHeight="1" hidden="1">
      <c r="A32" s="29"/>
      <c r="B32" s="29"/>
      <c r="C32" s="29"/>
      <c r="D32" s="29"/>
      <c r="E32" s="29"/>
      <c r="F32" s="31"/>
    </row>
    <row r="33" spans="1:6" ht="19.5" customHeight="1" hidden="1">
      <c r="A33" s="29"/>
      <c r="B33" s="29"/>
      <c r="C33" s="29"/>
      <c r="D33" s="29"/>
      <c r="E33" s="29"/>
      <c r="F33" s="31"/>
    </row>
    <row r="34" spans="1:6" ht="19.5" customHeight="1">
      <c r="A34" s="29"/>
      <c r="B34" s="31" t="s">
        <v>276</v>
      </c>
      <c r="C34" s="29"/>
      <c r="D34" s="29"/>
      <c r="E34" s="29"/>
      <c r="F34" s="31" t="e">
        <f>SUM(F9+F24+F25+F26+F27)</f>
        <v>#REF!</v>
      </c>
    </row>
    <row r="35" spans="1:6" ht="19.5" customHeight="1" hidden="1">
      <c r="A35" s="29"/>
      <c r="B35" s="31" t="s">
        <v>275</v>
      </c>
      <c r="C35" s="29"/>
      <c r="D35" s="29"/>
      <c r="E35" s="29"/>
      <c r="F35" s="31" t="e">
        <f>F34/100</f>
        <v>#REF!</v>
      </c>
    </row>
    <row r="36" spans="1:6" ht="19.5" customHeight="1">
      <c r="A36" s="29"/>
      <c r="B36" s="31"/>
      <c r="C36" s="29"/>
      <c r="D36" s="29"/>
      <c r="E36" s="29"/>
      <c r="F36" s="31"/>
    </row>
    <row r="37" spans="1:6" ht="22.5" customHeight="1">
      <c r="A37" s="44"/>
      <c r="B37" s="36"/>
      <c r="C37" s="36"/>
      <c r="D37" s="36"/>
      <c r="E37" s="36"/>
      <c r="F37" s="37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A1:F1"/>
    <mergeCell ref="B3:D3"/>
    <mergeCell ref="B4:D4"/>
    <mergeCell ref="A5:F7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  <headerFooter alignWithMargins="0">
    <oddFooter>&amp;C-&amp;P--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5"/>
  </sheetPr>
  <dimension ref="A1:H38"/>
  <sheetViews>
    <sheetView zoomScale="130" zoomScaleNormal="130" workbookViewId="0" topLeftCell="A17">
      <selection activeCell="D24" sqref="D24"/>
    </sheetView>
  </sheetViews>
  <sheetFormatPr defaultColWidth="8.625" defaultRowHeight="14.25"/>
  <cols>
    <col min="1" max="1" width="6.25390625" style="27" customWidth="1"/>
    <col min="2" max="2" width="21.37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248</v>
      </c>
      <c r="C3" s="465"/>
      <c r="D3" s="465"/>
      <c r="E3" s="29" t="s">
        <v>38</v>
      </c>
      <c r="F3" s="180" t="s">
        <v>390</v>
      </c>
    </row>
    <row r="4" spans="1:6" ht="21" customHeight="1">
      <c r="A4" s="29" t="s">
        <v>251</v>
      </c>
      <c r="B4" s="466">
        <v>40288</v>
      </c>
      <c r="C4" s="466"/>
      <c r="D4" s="466"/>
      <c r="E4" s="29" t="s">
        <v>43</v>
      </c>
      <c r="F4" s="29" t="s">
        <v>382</v>
      </c>
    </row>
    <row r="5" spans="1:6" ht="19.5" customHeight="1">
      <c r="A5" s="465" t="s">
        <v>391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 t="e">
        <f>F10+F23</f>
        <v>#REF!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 t="e">
        <f>F11+F16+F21</f>
        <v>#REF!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SUM(F12:F15)</f>
        <v>1850.9820000000002</v>
      </c>
    </row>
    <row r="12" spans="1:6" ht="19.5" customHeight="1">
      <c r="A12" s="29"/>
      <c r="B12" s="29" t="s">
        <v>262</v>
      </c>
      <c r="C12" s="29" t="s">
        <v>291</v>
      </c>
      <c r="D12" s="33">
        <v>11.5</v>
      </c>
      <c r="E12" s="31">
        <f>'工长'!G20</f>
        <v>11.98</v>
      </c>
      <c r="F12" s="31">
        <f>D12*E12</f>
        <v>137.77</v>
      </c>
    </row>
    <row r="13" spans="1:6" ht="19.5" customHeight="1">
      <c r="A13" s="29"/>
      <c r="B13" s="29" t="s">
        <v>264</v>
      </c>
      <c r="C13" s="29" t="s">
        <v>291</v>
      </c>
      <c r="D13" s="33">
        <v>80.4</v>
      </c>
      <c r="E13" s="31">
        <v>7.7</v>
      </c>
      <c r="F13" s="31">
        <f>D13*E13</f>
        <v>619.08</v>
      </c>
    </row>
    <row r="14" spans="1:6" ht="19.5" customHeight="1">
      <c r="A14" s="29"/>
      <c r="B14" s="29" t="s">
        <v>265</v>
      </c>
      <c r="C14" s="29" t="s">
        <v>291</v>
      </c>
      <c r="D14" s="33">
        <v>68.9</v>
      </c>
      <c r="E14" s="31">
        <f>'中级工'!G20</f>
        <v>9.33</v>
      </c>
      <c r="F14" s="31">
        <f>D14*E14</f>
        <v>642.8370000000001</v>
      </c>
    </row>
    <row r="15" spans="1:6" ht="19.5" customHeight="1">
      <c r="A15" s="29"/>
      <c r="B15" s="29" t="s">
        <v>266</v>
      </c>
      <c r="C15" s="29" t="s">
        <v>291</v>
      </c>
      <c r="D15" s="33">
        <v>68.9</v>
      </c>
      <c r="E15" s="31">
        <f>'初级工'!G20</f>
        <v>6.55</v>
      </c>
      <c r="F15" s="31">
        <f>D15*E15</f>
        <v>451.295</v>
      </c>
    </row>
    <row r="16" spans="1:8" ht="19.5" customHeight="1">
      <c r="A16" s="29">
        <v>2</v>
      </c>
      <c r="B16" s="29" t="s">
        <v>375</v>
      </c>
      <c r="C16" s="29"/>
      <c r="D16" s="33"/>
      <c r="E16" s="31"/>
      <c r="F16" s="31" t="e">
        <f>SUM(F17:F20)</f>
        <v>#REF!</v>
      </c>
      <c r="H16" s="42"/>
    </row>
    <row r="17" spans="1:6" ht="19.5" customHeight="1">
      <c r="A17" s="29"/>
      <c r="B17" s="29" t="s">
        <v>332</v>
      </c>
      <c r="C17" s="29" t="s">
        <v>272</v>
      </c>
      <c r="D17" s="31">
        <v>2.2</v>
      </c>
      <c r="E17" s="31" t="e">
        <f>SUM(#REF!)</f>
        <v>#REF!</v>
      </c>
      <c r="F17" s="31" t="e">
        <f>D17*E17</f>
        <v>#REF!</v>
      </c>
    </row>
    <row r="18" spans="1:6" ht="19.5" customHeight="1">
      <c r="A18" s="29"/>
      <c r="B18" s="29" t="s">
        <v>392</v>
      </c>
      <c r="C18" s="29" t="s">
        <v>101</v>
      </c>
      <c r="D18" s="31">
        <v>1.24</v>
      </c>
      <c r="E18" s="31">
        <v>4200</v>
      </c>
      <c r="F18" s="31">
        <f>D18*E18</f>
        <v>5208</v>
      </c>
    </row>
    <row r="19" spans="1:6" ht="19.5" customHeight="1">
      <c r="A19" s="29"/>
      <c r="B19" s="29" t="s">
        <v>393</v>
      </c>
      <c r="C19" s="29" t="s">
        <v>101</v>
      </c>
      <c r="D19" s="31">
        <v>0.42</v>
      </c>
      <c r="E19" s="31">
        <v>300</v>
      </c>
      <c r="F19" s="31">
        <f>D19*E19</f>
        <v>126</v>
      </c>
    </row>
    <row r="20" spans="1:6" ht="19.5" customHeight="1">
      <c r="A20" s="290"/>
      <c r="B20" s="29" t="s">
        <v>315</v>
      </c>
      <c r="C20" s="29" t="s">
        <v>156</v>
      </c>
      <c r="D20" s="34">
        <v>1</v>
      </c>
      <c r="E20" s="35"/>
      <c r="F20" s="31" t="e">
        <f>SUM(F17:F19)*D20/100</f>
        <v>#REF!</v>
      </c>
    </row>
    <row r="21" spans="1:6" ht="19.5" customHeight="1">
      <c r="A21" s="29">
        <v>3</v>
      </c>
      <c r="B21" s="29" t="s">
        <v>294</v>
      </c>
      <c r="C21" s="29"/>
      <c r="D21" s="34"/>
      <c r="E21" s="35"/>
      <c r="F21" s="31">
        <f>SUM(F22)</f>
        <v>2.745941381829991</v>
      </c>
    </row>
    <row r="22" spans="1:6" ht="19.5" customHeight="1">
      <c r="A22" s="290"/>
      <c r="B22" s="29" t="s">
        <v>227</v>
      </c>
      <c r="C22" s="29" t="s">
        <v>179</v>
      </c>
      <c r="D22" s="31">
        <v>3.36</v>
      </c>
      <c r="E22" s="31">
        <f>SUM('台时-2'!C22)</f>
        <v>0.8172444588779735</v>
      </c>
      <c r="F22" s="31">
        <f>D22*E22</f>
        <v>2.745941381829991</v>
      </c>
    </row>
    <row r="23" spans="1:6" ht="19.5" customHeight="1">
      <c r="A23" s="29" t="s">
        <v>57</v>
      </c>
      <c r="B23" s="29" t="s">
        <v>165</v>
      </c>
      <c r="C23" s="29" t="s">
        <v>156</v>
      </c>
      <c r="D23" s="29">
        <v>10.5</v>
      </c>
      <c r="E23" s="29"/>
      <c r="F23" s="31" t="e">
        <f>F10*D23/100</f>
        <v>#REF!</v>
      </c>
    </row>
    <row r="24" spans="1:6" ht="19.5" customHeight="1">
      <c r="A24" s="29" t="s">
        <v>13</v>
      </c>
      <c r="B24" s="29" t="s">
        <v>166</v>
      </c>
      <c r="C24" s="29" t="s">
        <v>156</v>
      </c>
      <c r="D24" s="29">
        <v>9.5</v>
      </c>
      <c r="E24" s="29"/>
      <c r="F24" s="31" t="e">
        <f>F9*D24/100</f>
        <v>#REF!</v>
      </c>
    </row>
    <row r="25" spans="1:6" ht="19.5" customHeight="1">
      <c r="A25" s="29" t="s">
        <v>21</v>
      </c>
      <c r="B25" s="29" t="s">
        <v>296</v>
      </c>
      <c r="C25" s="29" t="s">
        <v>156</v>
      </c>
      <c r="D25" s="29">
        <v>7</v>
      </c>
      <c r="E25" s="29"/>
      <c r="F25" s="31" t="e">
        <f>(F9+F24)*D25/100</f>
        <v>#REF!</v>
      </c>
    </row>
    <row r="26" spans="1:6" ht="19.5" customHeight="1">
      <c r="A26" s="29" t="s">
        <v>60</v>
      </c>
      <c r="B26" s="29" t="s">
        <v>297</v>
      </c>
      <c r="C26" s="29"/>
      <c r="D26" s="29"/>
      <c r="E26" s="29"/>
      <c r="F26" s="31"/>
    </row>
    <row r="27" spans="1:6" ht="19.5" customHeight="1">
      <c r="A27" s="29" t="s">
        <v>62</v>
      </c>
      <c r="B27" s="29" t="s">
        <v>167</v>
      </c>
      <c r="C27" s="29" t="s">
        <v>156</v>
      </c>
      <c r="D27" s="29">
        <v>9</v>
      </c>
      <c r="E27" s="29"/>
      <c r="F27" s="31" t="e">
        <f>(F9+F24+F25+F26)*D27/100</f>
        <v>#REF!</v>
      </c>
    </row>
    <row r="28" spans="1:6" ht="19.5" customHeight="1" hidden="1">
      <c r="A28" s="29"/>
      <c r="B28" s="29"/>
      <c r="C28" s="29"/>
      <c r="D28" s="29"/>
      <c r="E28" s="29"/>
      <c r="F28" s="31"/>
    </row>
    <row r="29" spans="1:6" ht="19.5" customHeight="1" hidden="1">
      <c r="A29" s="29"/>
      <c r="B29" s="29"/>
      <c r="C29" s="29"/>
      <c r="D29" s="29"/>
      <c r="E29" s="29"/>
      <c r="F29" s="31"/>
    </row>
    <row r="30" spans="1:6" ht="19.5" customHeight="1" hidden="1">
      <c r="A30" s="29"/>
      <c r="B30" s="29"/>
      <c r="C30" s="29"/>
      <c r="D30" s="29"/>
      <c r="E30" s="29"/>
      <c r="F30" s="31"/>
    </row>
    <row r="31" spans="1:6" ht="19.5" customHeight="1" hidden="1">
      <c r="A31" s="29"/>
      <c r="B31" s="29"/>
      <c r="C31" s="29"/>
      <c r="D31" s="29"/>
      <c r="E31" s="29"/>
      <c r="F31" s="31"/>
    </row>
    <row r="32" spans="1:6" ht="19.5" customHeight="1" hidden="1">
      <c r="A32" s="29"/>
      <c r="B32" s="29"/>
      <c r="C32" s="29"/>
      <c r="D32" s="29"/>
      <c r="E32" s="29"/>
      <c r="F32" s="31"/>
    </row>
    <row r="33" spans="1:6" ht="19.5" customHeight="1" hidden="1">
      <c r="A33" s="29"/>
      <c r="B33" s="29"/>
      <c r="C33" s="29"/>
      <c r="D33" s="29"/>
      <c r="E33" s="29"/>
      <c r="F33" s="31"/>
    </row>
    <row r="34" spans="1:6" ht="19.5" customHeight="1">
      <c r="A34" s="29"/>
      <c r="B34" s="31" t="s">
        <v>276</v>
      </c>
      <c r="C34" s="29"/>
      <c r="D34" s="29"/>
      <c r="E34" s="29"/>
      <c r="F34" s="31" t="e">
        <f>SUM(F9+F24+F25+F26+F27)</f>
        <v>#REF!</v>
      </c>
    </row>
    <row r="35" spans="1:6" ht="19.5" customHeight="1" hidden="1">
      <c r="A35" s="29"/>
      <c r="B35" s="31" t="s">
        <v>275</v>
      </c>
      <c r="C35" s="29"/>
      <c r="D35" s="29"/>
      <c r="E35" s="29"/>
      <c r="F35" s="31" t="e">
        <f>F34/100</f>
        <v>#REF!</v>
      </c>
    </row>
    <row r="36" spans="1:6" ht="19.5" customHeight="1">
      <c r="A36" s="29"/>
      <c r="B36" s="29"/>
      <c r="C36" s="29"/>
      <c r="D36" s="29"/>
      <c r="E36" s="29"/>
      <c r="F36" s="31"/>
    </row>
    <row r="37" spans="1:6" ht="19.5" customHeight="1">
      <c r="A37" s="29"/>
      <c r="B37" s="29"/>
      <c r="C37" s="29"/>
      <c r="D37" s="29"/>
      <c r="E37" s="29"/>
      <c r="F37" s="31"/>
    </row>
    <row r="38" spans="1:6" ht="19.5" customHeight="1">
      <c r="A38" s="39"/>
      <c r="B38" s="40"/>
      <c r="C38" s="40"/>
      <c r="D38" s="40"/>
      <c r="E38" s="40"/>
      <c r="F38" s="4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A1:F1"/>
    <mergeCell ref="B3:D3"/>
    <mergeCell ref="B4:D4"/>
    <mergeCell ref="A5:F7"/>
  </mergeCells>
  <printOptions/>
  <pageMargins left="0.9055118110236221" right="0.7086614173228347" top="0.7480314960629921" bottom="0.7480314960629921" header="0.31496062992125984" footer="0.5118110236220472"/>
  <pageSetup horizontalDpi="600" verticalDpi="600" orientation="portrait" paperSize="9"/>
  <headerFooter>
    <oddFooter>&amp;C-&amp;P--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F34"/>
  <sheetViews>
    <sheetView zoomScale="175" zoomScaleNormal="175" workbookViewId="0" topLeftCell="A20">
      <selection activeCell="E24" sqref="E24"/>
    </sheetView>
  </sheetViews>
  <sheetFormatPr defaultColWidth="8.625" defaultRowHeight="14.25"/>
  <cols>
    <col min="1" max="1" width="6.25390625" style="245" customWidth="1"/>
    <col min="2" max="2" width="20.00390625" style="245" customWidth="1"/>
    <col min="3" max="3" width="11.50390625" style="245" customWidth="1"/>
    <col min="4" max="4" width="11.125" style="245" customWidth="1"/>
    <col min="5" max="5" width="10.00390625" style="245" customWidth="1"/>
    <col min="6" max="6" width="16.00390625" style="245" customWidth="1"/>
    <col min="7" max="32" width="9.00390625" style="245" bestFit="1" customWidth="1"/>
    <col min="33" max="16384" width="8.625" style="245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181</v>
      </c>
      <c r="C3" s="465"/>
      <c r="D3" s="465"/>
      <c r="E3" s="29" t="s">
        <v>38</v>
      </c>
      <c r="F3" s="180"/>
    </row>
    <row r="4" spans="1:6" ht="21" customHeight="1">
      <c r="A4" s="29" t="s">
        <v>251</v>
      </c>
      <c r="B4" s="465">
        <v>30048</v>
      </c>
      <c r="C4" s="465"/>
      <c r="D4" s="465"/>
      <c r="E4" s="29" t="s">
        <v>43</v>
      </c>
      <c r="F4" s="29" t="s">
        <v>388</v>
      </c>
    </row>
    <row r="5" spans="1:6" ht="19.5" customHeight="1">
      <c r="A5" s="465" t="s">
        <v>394</v>
      </c>
      <c r="B5" s="465"/>
      <c r="C5" s="465"/>
      <c r="D5" s="465"/>
      <c r="E5" s="465"/>
      <c r="F5" s="465"/>
    </row>
    <row r="6" spans="1:6" ht="19.5" customHeight="1">
      <c r="A6" s="465"/>
      <c r="B6" s="465"/>
      <c r="C6" s="465"/>
      <c r="D6" s="465"/>
      <c r="E6" s="465"/>
      <c r="F6" s="465"/>
    </row>
    <row r="7" spans="1:6" ht="13.5" customHeight="1">
      <c r="A7" s="465"/>
      <c r="B7" s="465"/>
      <c r="C7" s="465"/>
      <c r="D7" s="465"/>
      <c r="E7" s="465"/>
      <c r="F7" s="465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 t="e">
        <f>F10+F22</f>
        <v>#REF!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 t="e">
        <f>F11+F15+F19</f>
        <v>#REF!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SUM(F12:F14)</f>
        <v>518.669</v>
      </c>
    </row>
    <row r="12" spans="1:6" ht="19.5" customHeight="1">
      <c r="A12" s="29"/>
      <c r="B12" s="29" t="s">
        <v>262</v>
      </c>
      <c r="C12" s="29" t="s">
        <v>291</v>
      </c>
      <c r="D12" s="29">
        <v>1.3</v>
      </c>
      <c r="E12" s="31">
        <f>'工长'!G20</f>
        <v>11.98</v>
      </c>
      <c r="F12" s="32">
        <f>D12*E12</f>
        <v>15.574000000000002</v>
      </c>
    </row>
    <row r="13" spans="1:6" ht="19.5" customHeight="1">
      <c r="A13" s="29"/>
      <c r="B13" s="29" t="s">
        <v>265</v>
      </c>
      <c r="C13" s="29" t="s">
        <v>291</v>
      </c>
      <c r="D13" s="29">
        <v>29</v>
      </c>
      <c r="E13" s="31">
        <f>'中级工'!G20</f>
        <v>9.33</v>
      </c>
      <c r="F13" s="32">
        <f>D13*E13</f>
        <v>270.57</v>
      </c>
    </row>
    <row r="14" spans="1:6" ht="19.5" customHeight="1">
      <c r="A14" s="29"/>
      <c r="B14" s="29" t="s">
        <v>266</v>
      </c>
      <c r="C14" s="29" t="s">
        <v>291</v>
      </c>
      <c r="D14" s="33">
        <v>35.5</v>
      </c>
      <c r="E14" s="31">
        <f>'初级工'!G20</f>
        <v>6.55</v>
      </c>
      <c r="F14" s="32">
        <f>D14*E14</f>
        <v>232.525</v>
      </c>
    </row>
    <row r="15" spans="1:6" ht="19.5" customHeight="1">
      <c r="A15" s="29">
        <v>2</v>
      </c>
      <c r="B15" s="29" t="s">
        <v>163</v>
      </c>
      <c r="C15" s="29"/>
      <c r="D15" s="33"/>
      <c r="E15" s="31"/>
      <c r="F15" s="31" t="e">
        <f>SUM(F16:F18)</f>
        <v>#REF!</v>
      </c>
    </row>
    <row r="16" spans="1:6" ht="19.5" customHeight="1" hidden="1">
      <c r="A16" s="29"/>
      <c r="B16" s="29"/>
      <c r="C16" s="29"/>
      <c r="D16" s="33"/>
      <c r="E16" s="31"/>
      <c r="F16" s="31"/>
    </row>
    <row r="17" spans="1:6" ht="19.5" customHeight="1">
      <c r="A17" s="29"/>
      <c r="B17" s="29" t="s">
        <v>395</v>
      </c>
      <c r="C17" s="29" t="s">
        <v>196</v>
      </c>
      <c r="D17" s="33">
        <v>2.1</v>
      </c>
      <c r="E17" s="31" t="e">
        <f>SUM('砂浆'!F8)</f>
        <v>#REF!</v>
      </c>
      <c r="F17" s="31" t="e">
        <f>D17*E17</f>
        <v>#REF!</v>
      </c>
    </row>
    <row r="18" spans="1:6" ht="19.5" customHeight="1">
      <c r="A18" s="29"/>
      <c r="B18" s="29" t="s">
        <v>293</v>
      </c>
      <c r="C18" s="29" t="s">
        <v>156</v>
      </c>
      <c r="D18" s="33">
        <v>8</v>
      </c>
      <c r="E18" s="35"/>
      <c r="F18" s="31" t="e">
        <f>(F16+F17)*D18/100</f>
        <v>#REF!</v>
      </c>
    </row>
    <row r="19" spans="1:6" ht="19.5" customHeight="1">
      <c r="A19" s="29">
        <v>3</v>
      </c>
      <c r="B19" s="29" t="s">
        <v>164</v>
      </c>
      <c r="C19" s="29"/>
      <c r="D19" s="34"/>
      <c r="E19" s="31"/>
      <c r="F19" s="31" t="e">
        <f>SUM(F20:F21)</f>
        <v>#REF!</v>
      </c>
    </row>
    <row r="20" spans="1:6" ht="19.5" customHeight="1">
      <c r="A20" s="29"/>
      <c r="B20" s="29" t="s">
        <v>396</v>
      </c>
      <c r="C20" s="29" t="s">
        <v>179</v>
      </c>
      <c r="D20" s="31">
        <v>0.38</v>
      </c>
      <c r="E20" s="31" t="e">
        <f>'台时-1'!C27</f>
        <v>#REF!</v>
      </c>
      <c r="F20" s="31" t="e">
        <f>D20*E20</f>
        <v>#REF!</v>
      </c>
    </row>
    <row r="21" spans="1:6" ht="19.5" customHeight="1">
      <c r="A21" s="29"/>
      <c r="B21" s="29" t="s">
        <v>227</v>
      </c>
      <c r="C21" s="29" t="s">
        <v>179</v>
      </c>
      <c r="D21" s="31">
        <v>5.1</v>
      </c>
      <c r="E21" s="31">
        <f>'台时-2'!C22</f>
        <v>0.8172444588779735</v>
      </c>
      <c r="F21" s="31">
        <f>D21*E21</f>
        <v>4.167946740277665</v>
      </c>
    </row>
    <row r="22" spans="1:6" ht="19.5" customHeight="1">
      <c r="A22" s="29" t="s">
        <v>57</v>
      </c>
      <c r="B22" s="29" t="s">
        <v>165</v>
      </c>
      <c r="C22" s="29" t="s">
        <v>156</v>
      </c>
      <c r="D22" s="29">
        <v>10</v>
      </c>
      <c r="E22" s="29"/>
      <c r="F22" s="31" t="e">
        <f>F10*D22/100</f>
        <v>#REF!</v>
      </c>
    </row>
    <row r="23" spans="1:6" ht="19.5" customHeight="1">
      <c r="A23" s="29" t="s">
        <v>13</v>
      </c>
      <c r="B23" s="29" t="s">
        <v>166</v>
      </c>
      <c r="C23" s="29" t="s">
        <v>156</v>
      </c>
      <c r="D23" s="29">
        <v>12.5</v>
      </c>
      <c r="E23" s="29"/>
      <c r="F23" s="31" t="e">
        <f>F9*D23/100</f>
        <v>#REF!</v>
      </c>
    </row>
    <row r="24" spans="1:6" ht="19.5" customHeight="1">
      <c r="A24" s="29" t="s">
        <v>21</v>
      </c>
      <c r="B24" s="29" t="s">
        <v>296</v>
      </c>
      <c r="C24" s="29" t="s">
        <v>156</v>
      </c>
      <c r="D24" s="29">
        <v>7</v>
      </c>
      <c r="E24" s="29"/>
      <c r="F24" s="31" t="e">
        <f>(F9+F23)*D24/100</f>
        <v>#REF!</v>
      </c>
    </row>
    <row r="25" spans="1:6" ht="19.5" customHeight="1">
      <c r="A25" s="29" t="s">
        <v>60</v>
      </c>
      <c r="B25" s="29" t="s">
        <v>297</v>
      </c>
      <c r="C25" s="29"/>
      <c r="D25" s="29"/>
      <c r="E25" s="29"/>
      <c r="F25" s="31" t="e">
        <f>SUM(D16*(#REF!-70)+D17*'砂浆'!D9*(#REF!-255)+D17*'砂浆'!D11*(#REF!-70))</f>
        <v>#REF!</v>
      </c>
    </row>
    <row r="26" spans="1:6" ht="19.5" customHeight="1">
      <c r="A26" s="29" t="s">
        <v>62</v>
      </c>
      <c r="B26" s="29" t="s">
        <v>167</v>
      </c>
      <c r="C26" s="29" t="s">
        <v>156</v>
      </c>
      <c r="D26" s="29">
        <v>9</v>
      </c>
      <c r="E26" s="29"/>
      <c r="F26" s="31" t="e">
        <f>(F9+F23+F24+F25)*D26/100</f>
        <v>#REF!</v>
      </c>
    </row>
    <row r="27" spans="1:6" ht="19.5" customHeight="1" hidden="1">
      <c r="A27" s="29"/>
      <c r="B27" s="29"/>
      <c r="C27" s="29"/>
      <c r="D27" s="29"/>
      <c r="E27" s="29"/>
      <c r="F27" s="31"/>
    </row>
    <row r="28" spans="1:6" ht="19.5" customHeight="1" hidden="1">
      <c r="A28" s="29"/>
      <c r="B28" s="29"/>
      <c r="C28" s="43"/>
      <c r="D28" s="33"/>
      <c r="E28" s="32"/>
      <c r="F28" s="31"/>
    </row>
    <row r="29" spans="1:6" ht="19.5" customHeight="1" hidden="1">
      <c r="A29" s="29"/>
      <c r="B29" s="29"/>
      <c r="C29" s="29"/>
      <c r="D29" s="29"/>
      <c r="E29" s="29"/>
      <c r="F29" s="31"/>
    </row>
    <row r="30" spans="1:6" ht="19.5" customHeight="1" hidden="1">
      <c r="A30" s="29"/>
      <c r="B30" s="29"/>
      <c r="C30" s="29"/>
      <c r="D30" s="29"/>
      <c r="E30" s="29"/>
      <c r="F30" s="31"/>
    </row>
    <row r="31" spans="1:6" ht="19.5" customHeight="1" hidden="1">
      <c r="A31" s="29"/>
      <c r="B31" s="29"/>
      <c r="C31" s="29"/>
      <c r="D31" s="29"/>
      <c r="E31" s="29"/>
      <c r="F31" s="31"/>
    </row>
    <row r="32" spans="1:6" ht="19.5" customHeight="1">
      <c r="A32" s="29"/>
      <c r="B32" s="31" t="s">
        <v>276</v>
      </c>
      <c r="C32" s="29"/>
      <c r="D32" s="29"/>
      <c r="E32" s="29"/>
      <c r="F32" s="31" t="e">
        <f>SUM(F9+F23+F24+F26+F25)</f>
        <v>#REF!</v>
      </c>
    </row>
    <row r="33" spans="1:6" ht="19.5" customHeight="1">
      <c r="A33" s="29"/>
      <c r="B33" s="31"/>
      <c r="C33" s="29"/>
      <c r="D33" s="29"/>
      <c r="E33" s="29"/>
      <c r="F33" s="31"/>
    </row>
    <row r="34" spans="1:6" ht="19.5" customHeight="1">
      <c r="A34" s="29"/>
      <c r="B34" s="40"/>
      <c r="C34" s="40"/>
      <c r="D34" s="40"/>
      <c r="E34" s="40"/>
      <c r="F34" s="4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4">
    <mergeCell ref="A1:F1"/>
    <mergeCell ref="B3:D3"/>
    <mergeCell ref="B4:D4"/>
    <mergeCell ref="A5:F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Roman,常规"-&amp;P--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5"/>
  </sheetPr>
  <dimension ref="A1:F34"/>
  <sheetViews>
    <sheetView workbookViewId="0" topLeftCell="A16">
      <selection activeCell="D23" sqref="D23"/>
    </sheetView>
  </sheetViews>
  <sheetFormatPr defaultColWidth="8.625" defaultRowHeight="14.25"/>
  <cols>
    <col min="1" max="1" width="6.25390625" style="245" customWidth="1"/>
    <col min="2" max="2" width="20.00390625" style="245" customWidth="1"/>
    <col min="3" max="3" width="11.50390625" style="245" customWidth="1"/>
    <col min="4" max="4" width="11.125" style="245" customWidth="1"/>
    <col min="5" max="5" width="10.00390625" style="245" customWidth="1"/>
    <col min="6" max="6" width="16.00390625" style="245" customWidth="1"/>
    <col min="7" max="32" width="9.00390625" style="245" bestFit="1" customWidth="1"/>
    <col min="33" max="16384" width="8.625" style="245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170</v>
      </c>
      <c r="C3" s="465"/>
      <c r="D3" s="465"/>
      <c r="E3" s="29" t="s">
        <v>38</v>
      </c>
      <c r="F3" s="180" t="s">
        <v>397</v>
      </c>
    </row>
    <row r="4" spans="1:6" ht="21" customHeight="1">
      <c r="A4" s="29" t="s">
        <v>251</v>
      </c>
      <c r="B4" s="465">
        <v>30033</v>
      </c>
      <c r="C4" s="465"/>
      <c r="D4" s="465"/>
      <c r="E4" s="29" t="s">
        <v>43</v>
      </c>
      <c r="F4" s="29" t="s">
        <v>345</v>
      </c>
    </row>
    <row r="5" spans="1:6" ht="19.5" customHeight="1">
      <c r="A5" s="465" t="s">
        <v>398</v>
      </c>
      <c r="B5" s="465"/>
      <c r="C5" s="465"/>
      <c r="D5" s="465"/>
      <c r="E5" s="465"/>
      <c r="F5" s="465"/>
    </row>
    <row r="6" spans="1:6" ht="19.5" customHeight="1">
      <c r="A6" s="465"/>
      <c r="B6" s="465"/>
      <c r="C6" s="465"/>
      <c r="D6" s="465"/>
      <c r="E6" s="465"/>
      <c r="F6" s="465"/>
    </row>
    <row r="7" spans="1:6" ht="13.5" customHeight="1">
      <c r="A7" s="465"/>
      <c r="B7" s="465"/>
      <c r="C7" s="465"/>
      <c r="D7" s="465"/>
      <c r="E7" s="465"/>
      <c r="F7" s="465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 t="e">
        <f>F10+F22</f>
        <v>#REF!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 t="e">
        <f>F11+F15+F19</f>
        <v>#REF!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SUM(F12:F14)</f>
        <v>6500.842999999999</v>
      </c>
    </row>
    <row r="12" spans="1:6" ht="19.5" customHeight="1">
      <c r="A12" s="29"/>
      <c r="B12" s="29" t="s">
        <v>262</v>
      </c>
      <c r="C12" s="29" t="s">
        <v>291</v>
      </c>
      <c r="D12" s="29">
        <v>16.7</v>
      </c>
      <c r="E12" s="31">
        <f>'工长'!G20</f>
        <v>11.98</v>
      </c>
      <c r="F12" s="32">
        <f>D12*E12</f>
        <v>200.066</v>
      </c>
    </row>
    <row r="13" spans="1:6" ht="19.5" customHeight="1">
      <c r="A13" s="29"/>
      <c r="B13" s="29" t="s">
        <v>265</v>
      </c>
      <c r="C13" s="29" t="s">
        <v>291</v>
      </c>
      <c r="D13" s="29">
        <v>339.4</v>
      </c>
      <c r="E13" s="31">
        <f>'中级工'!G20</f>
        <v>9.33</v>
      </c>
      <c r="F13" s="32">
        <f>D13*E13</f>
        <v>3166.602</v>
      </c>
    </row>
    <row r="14" spans="1:6" ht="19.5" customHeight="1">
      <c r="A14" s="29"/>
      <c r="B14" s="29" t="s">
        <v>266</v>
      </c>
      <c r="C14" s="29" t="s">
        <v>291</v>
      </c>
      <c r="D14" s="33">
        <v>478.5</v>
      </c>
      <c r="E14" s="31">
        <f>'初级工'!G20</f>
        <v>6.55</v>
      </c>
      <c r="F14" s="32">
        <f>D14*E14</f>
        <v>3134.1749999999997</v>
      </c>
    </row>
    <row r="15" spans="1:6" ht="19.5" customHeight="1">
      <c r="A15" s="29">
        <v>2</v>
      </c>
      <c r="B15" s="29" t="s">
        <v>163</v>
      </c>
      <c r="C15" s="29"/>
      <c r="D15" s="33"/>
      <c r="E15" s="31"/>
      <c r="F15" s="31" t="e">
        <f>SUM(F16:F18)</f>
        <v>#REF!</v>
      </c>
    </row>
    <row r="16" spans="1:6" ht="19.5" customHeight="1">
      <c r="A16" s="29"/>
      <c r="B16" s="29" t="s">
        <v>198</v>
      </c>
      <c r="C16" s="29" t="s">
        <v>196</v>
      </c>
      <c r="D16" s="33">
        <v>108</v>
      </c>
      <c r="E16" s="31">
        <v>70</v>
      </c>
      <c r="F16" s="31">
        <f>D16*E16</f>
        <v>7560</v>
      </c>
    </row>
    <row r="17" spans="1:6" ht="19.5" customHeight="1">
      <c r="A17" s="29"/>
      <c r="B17" s="29" t="s">
        <v>395</v>
      </c>
      <c r="C17" s="29" t="s">
        <v>196</v>
      </c>
      <c r="D17" s="33">
        <v>34.4</v>
      </c>
      <c r="E17" s="31" t="e">
        <f>SUM('砂浆'!F8)</f>
        <v>#REF!</v>
      </c>
      <c r="F17" s="31" t="e">
        <f>D17*E17</f>
        <v>#REF!</v>
      </c>
    </row>
    <row r="18" spans="1:6" ht="19.5" customHeight="1">
      <c r="A18" s="29"/>
      <c r="B18" s="29" t="s">
        <v>293</v>
      </c>
      <c r="C18" s="29" t="s">
        <v>156</v>
      </c>
      <c r="D18" s="33">
        <v>0.5</v>
      </c>
      <c r="E18" s="35"/>
      <c r="F18" s="31" t="e">
        <f>(F16+F17)*D18/100</f>
        <v>#REF!</v>
      </c>
    </row>
    <row r="19" spans="1:6" ht="19.5" customHeight="1">
      <c r="A19" s="29">
        <v>3</v>
      </c>
      <c r="B19" s="29" t="s">
        <v>164</v>
      </c>
      <c r="C19" s="29"/>
      <c r="D19" s="34"/>
      <c r="E19" s="31"/>
      <c r="F19" s="31" t="e">
        <f>SUM(F20:F21)</f>
        <v>#REF!</v>
      </c>
    </row>
    <row r="20" spans="1:6" ht="19.5" customHeight="1">
      <c r="A20" s="29"/>
      <c r="B20" s="29" t="s">
        <v>396</v>
      </c>
      <c r="C20" s="29" t="s">
        <v>179</v>
      </c>
      <c r="D20" s="31">
        <v>6.38</v>
      </c>
      <c r="E20" s="31" t="e">
        <f>'台时-1'!C27</f>
        <v>#REF!</v>
      </c>
      <c r="F20" s="31" t="e">
        <f>D20*E20</f>
        <v>#REF!</v>
      </c>
    </row>
    <row r="21" spans="1:6" ht="19.5" customHeight="1">
      <c r="A21" s="29"/>
      <c r="B21" s="29" t="s">
        <v>227</v>
      </c>
      <c r="C21" s="29" t="s">
        <v>179</v>
      </c>
      <c r="D21" s="31">
        <v>161.18</v>
      </c>
      <c r="E21" s="31">
        <f>'台时-2'!C22</f>
        <v>0.8172444588779735</v>
      </c>
      <c r="F21" s="31">
        <f>D21*E21</f>
        <v>131.72346188195178</v>
      </c>
    </row>
    <row r="22" spans="1:6" ht="19.5" customHeight="1">
      <c r="A22" s="29" t="s">
        <v>57</v>
      </c>
      <c r="B22" s="29" t="s">
        <v>165</v>
      </c>
      <c r="C22" s="29" t="s">
        <v>156</v>
      </c>
      <c r="D22" s="29">
        <v>10</v>
      </c>
      <c r="E22" s="29"/>
      <c r="F22" s="31" t="e">
        <f>F10*D22/100</f>
        <v>#REF!</v>
      </c>
    </row>
    <row r="23" spans="1:6" ht="19.5" customHeight="1">
      <c r="A23" s="29" t="s">
        <v>13</v>
      </c>
      <c r="B23" s="29" t="s">
        <v>166</v>
      </c>
      <c r="C23" s="29" t="s">
        <v>156</v>
      </c>
      <c r="D23" s="29">
        <v>12.5</v>
      </c>
      <c r="E23" s="29"/>
      <c r="F23" s="31" t="e">
        <f>F9*D23/100</f>
        <v>#REF!</v>
      </c>
    </row>
    <row r="24" spans="1:6" ht="19.5" customHeight="1">
      <c r="A24" s="29" t="s">
        <v>21</v>
      </c>
      <c r="B24" s="29" t="s">
        <v>296</v>
      </c>
      <c r="C24" s="29" t="s">
        <v>156</v>
      </c>
      <c r="D24" s="29">
        <v>7</v>
      </c>
      <c r="E24" s="29"/>
      <c r="F24" s="31" t="e">
        <f>(F9+F23)*D24/100</f>
        <v>#REF!</v>
      </c>
    </row>
    <row r="25" spans="1:6" ht="19.5" customHeight="1">
      <c r="A25" s="29" t="s">
        <v>60</v>
      </c>
      <c r="B25" s="29" t="s">
        <v>297</v>
      </c>
      <c r="C25" s="29"/>
      <c r="D25" s="29"/>
      <c r="E25" s="29"/>
      <c r="F25" s="31" t="e">
        <f>SUM(D16*(#REF!-70)+D17*'砂浆'!D9*(#REF!-255)+D17*'砂浆'!D11*(#REF!-70))</f>
        <v>#REF!</v>
      </c>
    </row>
    <row r="26" spans="1:6" ht="19.5" customHeight="1">
      <c r="A26" s="29" t="s">
        <v>62</v>
      </c>
      <c r="B26" s="29" t="s">
        <v>167</v>
      </c>
      <c r="C26" s="29" t="s">
        <v>156</v>
      </c>
      <c r="D26" s="29">
        <v>9</v>
      </c>
      <c r="E26" s="29"/>
      <c r="F26" s="31" t="e">
        <f>(F9+F23+F24+F25)*D26/100</f>
        <v>#REF!</v>
      </c>
    </row>
    <row r="27" spans="1:6" ht="19.5" customHeight="1" hidden="1">
      <c r="A27" s="29"/>
      <c r="B27" s="29"/>
      <c r="C27" s="29"/>
      <c r="D27" s="29"/>
      <c r="E27" s="29"/>
      <c r="F27" s="31"/>
    </row>
    <row r="28" spans="1:6" ht="19.5" customHeight="1" hidden="1">
      <c r="A28" s="29"/>
      <c r="B28" s="29"/>
      <c r="C28" s="43"/>
      <c r="D28" s="33"/>
      <c r="E28" s="32"/>
      <c r="F28" s="31"/>
    </row>
    <row r="29" spans="1:6" ht="19.5" customHeight="1" hidden="1">
      <c r="A29" s="29"/>
      <c r="B29" s="29"/>
      <c r="C29" s="29"/>
      <c r="D29" s="29"/>
      <c r="E29" s="29"/>
      <c r="F29" s="31"/>
    </row>
    <row r="30" spans="1:6" ht="19.5" customHeight="1" hidden="1">
      <c r="A30" s="29"/>
      <c r="B30" s="29"/>
      <c r="C30" s="29"/>
      <c r="D30" s="29"/>
      <c r="E30" s="29"/>
      <c r="F30" s="31"/>
    </row>
    <row r="31" spans="1:6" ht="19.5" customHeight="1" hidden="1">
      <c r="A31" s="29"/>
      <c r="B31" s="29"/>
      <c r="C31" s="29"/>
      <c r="D31" s="29"/>
      <c r="E31" s="29"/>
      <c r="F31" s="31"/>
    </row>
    <row r="32" spans="1:6" ht="19.5" customHeight="1">
      <c r="A32" s="29"/>
      <c r="B32" s="31" t="s">
        <v>276</v>
      </c>
      <c r="C32" s="29"/>
      <c r="D32" s="29"/>
      <c r="E32" s="29"/>
      <c r="F32" s="31" t="e">
        <f>SUM(F9+F23+F24+F26+F25)</f>
        <v>#REF!</v>
      </c>
    </row>
    <row r="33" spans="1:6" ht="19.5" customHeight="1">
      <c r="A33" s="29"/>
      <c r="B33" s="31"/>
      <c r="C33" s="29"/>
      <c r="D33" s="29"/>
      <c r="E33" s="29"/>
      <c r="F33" s="31"/>
    </row>
    <row r="34" spans="1:6" ht="19.5" customHeight="1">
      <c r="A34" s="29"/>
      <c r="B34" s="40"/>
      <c r="C34" s="40"/>
      <c r="D34" s="40"/>
      <c r="E34" s="40"/>
      <c r="F34" s="4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4">
    <mergeCell ref="A1:F1"/>
    <mergeCell ref="B3:D3"/>
    <mergeCell ref="B4:D4"/>
    <mergeCell ref="A5:F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Roman,常规"-&amp;P--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5"/>
  </sheetPr>
  <dimension ref="A1:F28"/>
  <sheetViews>
    <sheetView zoomScale="160" zoomScaleNormal="160" workbookViewId="0" topLeftCell="A16">
      <selection activeCell="D20" sqref="D20"/>
    </sheetView>
  </sheetViews>
  <sheetFormatPr defaultColWidth="8.75390625" defaultRowHeight="19.5" customHeight="1"/>
  <cols>
    <col min="1" max="1" width="6.87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269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221" t="s">
        <v>161</v>
      </c>
      <c r="B3" s="472" t="s">
        <v>399</v>
      </c>
      <c r="C3" s="472"/>
      <c r="D3" s="472"/>
      <c r="E3" s="221" t="s">
        <v>38</v>
      </c>
      <c r="F3" s="180" t="s">
        <v>400</v>
      </c>
    </row>
    <row r="4" spans="1:6" ht="24.75" customHeight="1">
      <c r="A4" s="221" t="s">
        <v>251</v>
      </c>
      <c r="B4" s="472" t="s">
        <v>401</v>
      </c>
      <c r="C4" s="472"/>
      <c r="D4" s="472"/>
      <c r="E4" s="221" t="s">
        <v>43</v>
      </c>
      <c r="F4" s="29" t="s">
        <v>345</v>
      </c>
    </row>
    <row r="5" spans="1:6" ht="16.5" customHeight="1">
      <c r="A5" s="473" t="s">
        <v>402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F10+F20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F11+F16+F18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78.6</v>
      </c>
    </row>
    <row r="12" spans="1:6" ht="19.5" customHeight="1">
      <c r="A12" s="227"/>
      <c r="B12" s="227" t="s">
        <v>262</v>
      </c>
      <c r="C12" s="227" t="s">
        <v>291</v>
      </c>
      <c r="D12" s="227"/>
      <c r="E12" s="228">
        <f>'工长'!G20</f>
        <v>11.98</v>
      </c>
      <c r="F12" s="229">
        <f>D12*E12</f>
        <v>0</v>
      </c>
    </row>
    <row r="13" spans="1:6" ht="19.5" customHeight="1">
      <c r="A13" s="227"/>
      <c r="B13" s="227" t="s">
        <v>264</v>
      </c>
      <c r="C13" s="227" t="s">
        <v>291</v>
      </c>
      <c r="D13" s="230"/>
      <c r="E13" s="228">
        <f>'高级工'!G20</f>
        <v>11.09</v>
      </c>
      <c r="F13" s="229">
        <f>D13*E13</f>
        <v>0</v>
      </c>
    </row>
    <row r="14" spans="1:6" ht="19.5" customHeight="1">
      <c r="A14" s="227"/>
      <c r="B14" s="227" t="s">
        <v>265</v>
      </c>
      <c r="C14" s="227" t="s">
        <v>291</v>
      </c>
      <c r="D14" s="228"/>
      <c r="E14" s="228">
        <f>'中级工'!G20</f>
        <v>9.33</v>
      </c>
      <c r="F14" s="229">
        <f>D14*E14</f>
        <v>0</v>
      </c>
    </row>
    <row r="15" spans="1:6" ht="19.5" customHeight="1">
      <c r="A15" s="227"/>
      <c r="B15" s="227" t="s">
        <v>266</v>
      </c>
      <c r="C15" s="227" t="s">
        <v>291</v>
      </c>
      <c r="D15" s="228">
        <v>12</v>
      </c>
      <c r="E15" s="228">
        <f>'初级工'!G20</f>
        <v>6.55</v>
      </c>
      <c r="F15" s="229">
        <f>D15*E15</f>
        <v>78.6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SUM(F17:F17)</f>
        <v>#REF!</v>
      </c>
    </row>
    <row r="17" spans="1:6" ht="19.5" customHeight="1">
      <c r="A17" s="227"/>
      <c r="B17" s="227" t="s">
        <v>316</v>
      </c>
      <c r="C17" s="227" t="s">
        <v>156</v>
      </c>
      <c r="D17" s="230">
        <v>5</v>
      </c>
      <c r="E17" s="232"/>
      <c r="F17" s="228" t="e">
        <f>(F11+F18)*0.05</f>
        <v>#REF!</v>
      </c>
    </row>
    <row r="18" spans="1:6" ht="19.5" customHeight="1">
      <c r="A18" s="227">
        <v>3</v>
      </c>
      <c r="B18" s="234" t="s">
        <v>164</v>
      </c>
      <c r="C18" s="222"/>
      <c r="D18" s="231"/>
      <c r="E18" s="232"/>
      <c r="F18" s="228" t="e">
        <f>SUM(F19:F19)</f>
        <v>#REF!</v>
      </c>
    </row>
    <row r="19" spans="1:6" ht="19.5" customHeight="1">
      <c r="A19" s="227"/>
      <c r="B19" s="227" t="s">
        <v>403</v>
      </c>
      <c r="C19" s="234" t="s">
        <v>179</v>
      </c>
      <c r="D19" s="228">
        <v>33.35</v>
      </c>
      <c r="E19" s="228" t="e">
        <f>SUM('台时-1'!C27)</f>
        <v>#REF!</v>
      </c>
      <c r="F19" s="228" t="e">
        <f>D19*E19</f>
        <v>#REF!</v>
      </c>
    </row>
    <row r="20" spans="1:6" ht="19.5" customHeight="1">
      <c r="A20" s="227" t="s">
        <v>57</v>
      </c>
      <c r="B20" s="227" t="s">
        <v>165</v>
      </c>
      <c r="C20" s="227" t="s">
        <v>156</v>
      </c>
      <c r="D20" s="235">
        <v>10.5</v>
      </c>
      <c r="E20" s="235"/>
      <c r="F20" s="238" t="e">
        <f>F10*D20/100</f>
        <v>#REF!</v>
      </c>
    </row>
    <row r="21" spans="1:6" ht="19.5" customHeight="1">
      <c r="A21" s="227" t="s">
        <v>13</v>
      </c>
      <c r="B21" s="227" t="s">
        <v>166</v>
      </c>
      <c r="C21" s="227" t="s">
        <v>156</v>
      </c>
      <c r="D21" s="235">
        <v>9.5</v>
      </c>
      <c r="E21" s="235"/>
      <c r="F21" s="238" t="e">
        <f>F9*D21/100</f>
        <v>#REF!</v>
      </c>
    </row>
    <row r="22" spans="1:6" ht="19.5" customHeight="1">
      <c r="A22" s="227" t="s">
        <v>21</v>
      </c>
      <c r="B22" s="227" t="s">
        <v>296</v>
      </c>
      <c r="C22" s="227" t="s">
        <v>156</v>
      </c>
      <c r="D22" s="235">
        <v>7</v>
      </c>
      <c r="E22" s="235"/>
      <c r="F22" s="238" t="e">
        <f>(F9+F21)*D22/100</f>
        <v>#REF!</v>
      </c>
    </row>
    <row r="23" spans="1:6" ht="19.5" customHeight="1">
      <c r="A23" s="227" t="s">
        <v>60</v>
      </c>
      <c r="B23" s="227" t="s">
        <v>297</v>
      </c>
      <c r="C23" s="227"/>
      <c r="D23" s="235"/>
      <c r="E23" s="235"/>
      <c r="F23" s="238"/>
    </row>
    <row r="24" spans="1:6" ht="19.5" customHeight="1">
      <c r="A24" s="227" t="s">
        <v>62</v>
      </c>
      <c r="B24" s="227" t="s">
        <v>167</v>
      </c>
      <c r="C24" s="227" t="s">
        <v>156</v>
      </c>
      <c r="D24" s="235">
        <v>9</v>
      </c>
      <c r="E24" s="235"/>
      <c r="F24" s="238" t="e">
        <f>(F9+F21+F22+F23)*D24/100</f>
        <v>#REF!</v>
      </c>
    </row>
    <row r="25" spans="1:6" ht="19.5" customHeight="1" hidden="1">
      <c r="A25" s="227"/>
      <c r="B25" s="227"/>
      <c r="C25" s="227"/>
      <c r="D25" s="227"/>
      <c r="E25" s="227"/>
      <c r="F25" s="228"/>
    </row>
    <row r="26" spans="1:6" ht="19.5" customHeight="1" hidden="1">
      <c r="A26" s="227"/>
      <c r="B26" s="227"/>
      <c r="C26" s="227"/>
      <c r="D26" s="227"/>
      <c r="E26" s="227"/>
      <c r="F26" s="228"/>
    </row>
    <row r="27" spans="1:6" ht="19.5" customHeight="1">
      <c r="A27" s="235"/>
      <c r="B27" s="228" t="s">
        <v>276</v>
      </c>
      <c r="C27" s="235"/>
      <c r="D27" s="235"/>
      <c r="E27" s="235"/>
      <c r="F27" s="238" t="e">
        <f>F9+F21+F22+F23+F24</f>
        <v>#REF!</v>
      </c>
    </row>
    <row r="28" spans="1:6" ht="19.5" customHeight="1" hidden="1">
      <c r="A28" s="243"/>
      <c r="B28" s="228" t="s">
        <v>275</v>
      </c>
      <c r="C28" s="227"/>
      <c r="D28" s="227"/>
      <c r="E28" s="227"/>
      <c r="F28" s="228" t="e">
        <f>F27/100</f>
        <v>#REF!</v>
      </c>
    </row>
  </sheetData>
  <sheetProtection/>
  <mergeCells count="4">
    <mergeCell ref="A1:F1"/>
    <mergeCell ref="B3:D3"/>
    <mergeCell ref="B4:D4"/>
    <mergeCell ref="A5:F7"/>
  </mergeCells>
  <printOptions/>
  <pageMargins left="0.9448818897637796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160" zoomScaleNormal="160" workbookViewId="0" topLeftCell="A7">
      <selection activeCell="B6" sqref="B6"/>
    </sheetView>
  </sheetViews>
  <sheetFormatPr defaultColWidth="8.625" defaultRowHeight="14.25"/>
  <cols>
    <col min="1" max="1" width="6.625" style="27" customWidth="1"/>
    <col min="2" max="2" width="24.00390625" style="27" customWidth="1"/>
    <col min="3" max="3" width="5.50390625" style="27" customWidth="1"/>
    <col min="4" max="4" width="6.125" style="27" customWidth="1"/>
    <col min="5" max="5" width="10.00390625" style="27" customWidth="1"/>
    <col min="6" max="6" width="8.375" style="27" customWidth="1"/>
    <col min="7" max="7" width="9.875" style="27" customWidth="1"/>
    <col min="8" max="8" width="10.50390625" style="27" customWidth="1"/>
    <col min="9" max="32" width="9.00390625" style="27" bestFit="1" customWidth="1"/>
    <col min="33" max="16384" width="8.625" style="27" customWidth="1"/>
  </cols>
  <sheetData>
    <row r="1" spans="1:8" ht="39.75" customHeight="1">
      <c r="A1" s="432" t="s">
        <v>105</v>
      </c>
      <c r="B1" s="432"/>
      <c r="C1" s="432"/>
      <c r="D1" s="432"/>
      <c r="E1" s="432"/>
      <c r="F1" s="432"/>
      <c r="G1" s="432"/>
      <c r="H1" s="432"/>
    </row>
    <row r="2" spans="1:8" ht="19.5" customHeight="1">
      <c r="A2" s="433"/>
      <c r="B2" s="433"/>
      <c r="C2" s="433"/>
      <c r="D2" s="433"/>
      <c r="E2" s="355"/>
      <c r="F2" s="355"/>
      <c r="G2" s="355"/>
      <c r="H2" s="355"/>
    </row>
    <row r="3" spans="1:8" ht="21.75" customHeight="1">
      <c r="A3" s="436" t="s">
        <v>38</v>
      </c>
      <c r="B3" s="438" t="s">
        <v>3</v>
      </c>
      <c r="C3" s="434" t="s">
        <v>43</v>
      </c>
      <c r="D3" s="434" t="s">
        <v>44</v>
      </c>
      <c r="E3" s="434" t="s">
        <v>45</v>
      </c>
      <c r="F3" s="434"/>
      <c r="G3" s="434" t="s">
        <v>106</v>
      </c>
      <c r="H3" s="435"/>
    </row>
    <row r="4" spans="1:8" ht="21.75" customHeight="1">
      <c r="A4" s="437"/>
      <c r="B4" s="439"/>
      <c r="C4" s="440"/>
      <c r="D4" s="440"/>
      <c r="E4" s="189" t="s">
        <v>107</v>
      </c>
      <c r="F4" s="189" t="s">
        <v>108</v>
      </c>
      <c r="G4" s="189" t="s">
        <v>107</v>
      </c>
      <c r="H4" s="357" t="s">
        <v>108</v>
      </c>
    </row>
    <row r="5" spans="1:8" ht="21.75" customHeight="1">
      <c r="A5" s="356"/>
      <c r="B5" s="189" t="s">
        <v>109</v>
      </c>
      <c r="C5" s="189"/>
      <c r="D5" s="189"/>
      <c r="E5" s="189"/>
      <c r="F5" s="189"/>
      <c r="G5" s="358"/>
      <c r="H5" s="359">
        <f>SUM(H6,H8,H14)</f>
        <v>0.664954890071124</v>
      </c>
    </row>
    <row r="6" spans="1:8" ht="21.75" customHeight="1">
      <c r="A6" s="356" t="s">
        <v>11</v>
      </c>
      <c r="B6" s="189" t="s">
        <v>110</v>
      </c>
      <c r="C6" s="189"/>
      <c r="D6" s="189"/>
      <c r="E6" s="189"/>
      <c r="F6" s="358"/>
      <c r="G6" s="358"/>
      <c r="H6" s="359">
        <f>SUM(H7:H7)</f>
        <v>0.28848323839532397</v>
      </c>
    </row>
    <row r="7" spans="1:8" ht="21.75" customHeight="1">
      <c r="A7" s="356"/>
      <c r="B7" s="189" t="s">
        <v>110</v>
      </c>
      <c r="C7" s="189" t="s">
        <v>111</v>
      </c>
      <c r="D7" s="189">
        <v>23.73</v>
      </c>
      <c r="E7" s="189"/>
      <c r="F7" s="358">
        <f>SUM('补人工单位价'!F24)</f>
        <v>121.569000588</v>
      </c>
      <c r="G7" s="358"/>
      <c r="H7" s="359">
        <f>D7*F7/10000</f>
        <v>0.28848323839532397</v>
      </c>
    </row>
    <row r="8" spans="1:8" ht="21.75" customHeight="1">
      <c r="A8" s="356" t="s">
        <v>13</v>
      </c>
      <c r="B8" s="189" t="s">
        <v>112</v>
      </c>
      <c r="C8" s="189"/>
      <c r="D8" s="189"/>
      <c r="E8" s="189"/>
      <c r="F8" s="358"/>
      <c r="G8" s="358"/>
      <c r="H8" s="359">
        <f>SUM(H9:H13)</f>
        <v>0.34647165167579996</v>
      </c>
    </row>
    <row r="9" spans="1:8" ht="21.75" customHeight="1" hidden="1">
      <c r="A9" s="356"/>
      <c r="B9" s="189" t="s">
        <v>113</v>
      </c>
      <c r="C9" s="189" t="s">
        <v>111</v>
      </c>
      <c r="D9" s="189">
        <v>0</v>
      </c>
      <c r="E9" s="360"/>
      <c r="F9" s="358">
        <f>SUM('补人工单位价'!F24)</f>
        <v>121.569000588</v>
      </c>
      <c r="G9" s="358"/>
      <c r="H9" s="359">
        <f>D9*F9/10000</f>
        <v>0</v>
      </c>
    </row>
    <row r="10" spans="1:8" ht="21.75" customHeight="1" hidden="1">
      <c r="A10" s="356"/>
      <c r="B10" s="189" t="s">
        <v>114</v>
      </c>
      <c r="C10" s="189" t="s">
        <v>111</v>
      </c>
      <c r="D10" s="189">
        <v>0</v>
      </c>
      <c r="E10" s="360"/>
      <c r="F10" s="358">
        <f>SUM('补人工单位价'!F24)</f>
        <v>121.569000588</v>
      </c>
      <c r="G10" s="358"/>
      <c r="H10" s="359">
        <f aca="true" t="shared" si="0" ref="H10:H15">D10*F10/10000</f>
        <v>0</v>
      </c>
    </row>
    <row r="11" spans="1:8" ht="21.75" customHeight="1" hidden="1">
      <c r="A11" s="356"/>
      <c r="B11" s="189" t="s">
        <v>115</v>
      </c>
      <c r="C11" s="189" t="s">
        <v>111</v>
      </c>
      <c r="D11" s="189">
        <v>0</v>
      </c>
      <c r="E11" s="189"/>
      <c r="F11" s="358">
        <f>SUM('补人工单位价'!F24)</f>
        <v>121.569000588</v>
      </c>
      <c r="G11" s="358"/>
      <c r="H11" s="359">
        <f t="shared" si="0"/>
        <v>0</v>
      </c>
    </row>
    <row r="12" spans="1:8" ht="21.75" customHeight="1">
      <c r="A12" s="356"/>
      <c r="B12" s="189" t="s">
        <v>116</v>
      </c>
      <c r="C12" s="189" t="s">
        <v>111</v>
      </c>
      <c r="D12" s="189">
        <v>18.5</v>
      </c>
      <c r="E12" s="189"/>
      <c r="F12" s="358">
        <f>SUM('补人工单位价'!F24)</f>
        <v>121.569000588</v>
      </c>
      <c r="G12" s="358"/>
      <c r="H12" s="359">
        <f t="shared" si="0"/>
        <v>0.2249026510878</v>
      </c>
    </row>
    <row r="13" spans="1:8" ht="21.75" customHeight="1">
      <c r="A13" s="356"/>
      <c r="B13" s="189" t="s">
        <v>117</v>
      </c>
      <c r="C13" s="189" t="s">
        <v>111</v>
      </c>
      <c r="D13" s="189">
        <v>10</v>
      </c>
      <c r="E13" s="189"/>
      <c r="F13" s="358">
        <f>SUM('补人工单位价'!F24)</f>
        <v>121.569000588</v>
      </c>
      <c r="G13" s="358"/>
      <c r="H13" s="359">
        <f t="shared" si="0"/>
        <v>0.12156900058799999</v>
      </c>
    </row>
    <row r="14" spans="1:8" ht="21.75" customHeight="1">
      <c r="A14" s="356" t="s">
        <v>21</v>
      </c>
      <c r="B14" s="189" t="s">
        <v>118</v>
      </c>
      <c r="C14" s="189"/>
      <c r="D14" s="189"/>
      <c r="E14" s="361"/>
      <c r="F14" s="189"/>
      <c r="G14" s="358"/>
      <c r="H14" s="359">
        <f>SUM(H15)</f>
        <v>0.03</v>
      </c>
    </row>
    <row r="15" spans="1:8" ht="21.75" customHeight="1">
      <c r="A15" s="356"/>
      <c r="B15" s="189" t="s">
        <v>118</v>
      </c>
      <c r="C15" s="332" t="s">
        <v>119</v>
      </c>
      <c r="D15" s="341">
        <v>15</v>
      </c>
      <c r="E15" s="189"/>
      <c r="F15" s="189">
        <v>20</v>
      </c>
      <c r="G15" s="358"/>
      <c r="H15" s="359">
        <f t="shared" si="0"/>
        <v>0.03</v>
      </c>
    </row>
    <row r="16" spans="1:8" ht="21.75" customHeight="1">
      <c r="A16" s="356"/>
      <c r="B16" s="332"/>
      <c r="C16" s="332"/>
      <c r="D16" s="341"/>
      <c r="E16" s="342"/>
      <c r="F16" s="189"/>
      <c r="G16" s="358"/>
      <c r="H16" s="357"/>
    </row>
    <row r="17" spans="1:8" ht="21.75" customHeight="1">
      <c r="A17" s="362"/>
      <c r="B17" s="332"/>
      <c r="C17" s="332"/>
      <c r="D17" s="341"/>
      <c r="E17" s="341"/>
      <c r="F17" s="189"/>
      <c r="G17" s="358"/>
      <c r="H17" s="363"/>
    </row>
    <row r="18" spans="1:8" ht="21.75" customHeight="1">
      <c r="A18" s="356"/>
      <c r="B18" s="189"/>
      <c r="C18" s="332"/>
      <c r="D18" s="341"/>
      <c r="E18" s="189"/>
      <c r="F18" s="189"/>
      <c r="G18" s="358"/>
      <c r="H18" s="359"/>
    </row>
    <row r="19" spans="1:8" ht="21.75" customHeight="1">
      <c r="A19" s="362"/>
      <c r="B19" s="189"/>
      <c r="C19" s="332"/>
      <c r="D19" s="341"/>
      <c r="E19" s="189"/>
      <c r="F19" s="189"/>
      <c r="G19" s="358"/>
      <c r="H19" s="359"/>
    </row>
    <row r="20" spans="1:8" ht="21.75" customHeight="1">
      <c r="A20" s="356"/>
      <c r="B20" s="332"/>
      <c r="C20" s="332"/>
      <c r="D20" s="341"/>
      <c r="E20" s="342"/>
      <c r="F20" s="189"/>
      <c r="G20" s="358"/>
      <c r="H20" s="359"/>
    </row>
    <row r="21" spans="1:8" ht="21.75" customHeight="1">
      <c r="A21" s="362"/>
      <c r="B21" s="332"/>
      <c r="C21" s="332"/>
      <c r="D21" s="341"/>
      <c r="E21" s="341"/>
      <c r="F21" s="189"/>
      <c r="G21" s="358"/>
      <c r="H21" s="359"/>
    </row>
    <row r="22" spans="1:8" ht="21.75" customHeight="1">
      <c r="A22" s="356"/>
      <c r="B22" s="189"/>
      <c r="C22" s="332"/>
      <c r="D22" s="341"/>
      <c r="E22" s="189"/>
      <c r="F22" s="189"/>
      <c r="G22" s="358"/>
      <c r="H22" s="359"/>
    </row>
    <row r="23" spans="1:8" ht="21.75" customHeight="1">
      <c r="A23" s="362"/>
      <c r="B23" s="189"/>
      <c r="C23" s="332"/>
      <c r="D23" s="341"/>
      <c r="E23" s="189"/>
      <c r="F23" s="189"/>
      <c r="G23" s="358"/>
      <c r="H23" s="359"/>
    </row>
    <row r="24" spans="1:8" ht="21.75" customHeight="1">
      <c r="A24" s="356"/>
      <c r="B24" s="189"/>
      <c r="C24" s="332"/>
      <c r="D24" s="341"/>
      <c r="E24" s="189"/>
      <c r="F24" s="189"/>
      <c r="G24" s="358"/>
      <c r="H24" s="359"/>
    </row>
    <row r="25" spans="1:8" ht="21.75" customHeight="1">
      <c r="A25" s="356"/>
      <c r="B25" s="189"/>
      <c r="C25" s="189"/>
      <c r="D25" s="189"/>
      <c r="E25" s="189"/>
      <c r="F25" s="189"/>
      <c r="G25" s="189"/>
      <c r="H25" s="357"/>
    </row>
    <row r="26" spans="1:8" ht="21.75" customHeight="1">
      <c r="A26" s="364"/>
      <c r="B26" s="365"/>
      <c r="C26" s="365"/>
      <c r="D26" s="365"/>
      <c r="E26" s="365"/>
      <c r="F26" s="365"/>
      <c r="G26" s="365"/>
      <c r="H26" s="366"/>
    </row>
  </sheetData>
  <sheetProtection/>
  <mergeCells count="8">
    <mergeCell ref="A1:H1"/>
    <mergeCell ref="A2:D2"/>
    <mergeCell ref="E3:F3"/>
    <mergeCell ref="G3:H3"/>
    <mergeCell ref="A3:A4"/>
    <mergeCell ref="B3:B4"/>
    <mergeCell ref="C3:C4"/>
    <mergeCell ref="D3:D4"/>
  </mergeCells>
  <printOptions horizontalCentered="1"/>
  <pageMargins left="0.5511811023622047" right="0.5511811023622047" top="0.9842519685039371" bottom="0.9842519685039371" header="0.5118110236220472" footer="0.5118110236220472"/>
  <pageSetup horizontalDpi="200" verticalDpi="200" orientation="portrait" paperSize="9"/>
  <headerFooter alignWithMargins="0">
    <oddFooter>&amp;C-&amp;P&amp;--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5"/>
  </sheetPr>
  <dimension ref="A1:F33"/>
  <sheetViews>
    <sheetView zoomScale="220" zoomScaleNormal="220" workbookViewId="0" topLeftCell="A23">
      <selection activeCell="D13" sqref="D13:D14"/>
    </sheetView>
  </sheetViews>
  <sheetFormatPr defaultColWidth="8.75390625" defaultRowHeight="19.5" customHeight="1"/>
  <cols>
    <col min="1" max="1" width="6.87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269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221" t="s">
        <v>161</v>
      </c>
      <c r="B3" s="472" t="s">
        <v>404</v>
      </c>
      <c r="C3" s="472"/>
      <c r="D3" s="472"/>
      <c r="E3" s="221" t="s">
        <v>38</v>
      </c>
      <c r="F3" s="180" t="s">
        <v>400</v>
      </c>
    </row>
    <row r="4" spans="1:6" ht="24.75" customHeight="1">
      <c r="A4" s="221" t="s">
        <v>251</v>
      </c>
      <c r="B4" s="472" t="s">
        <v>405</v>
      </c>
      <c r="C4" s="472"/>
      <c r="D4" s="472"/>
      <c r="E4" s="221" t="s">
        <v>43</v>
      </c>
      <c r="F4" s="29" t="s">
        <v>345</v>
      </c>
    </row>
    <row r="5" spans="1:6" ht="16.5" customHeight="1">
      <c r="A5" s="463" t="s">
        <v>406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F10+F25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F11+F16+F21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25285.107</v>
      </c>
    </row>
    <row r="12" spans="1:6" ht="19.5" customHeight="1">
      <c r="A12" s="227"/>
      <c r="B12" s="227" t="s">
        <v>262</v>
      </c>
      <c r="C12" s="227" t="s">
        <v>291</v>
      </c>
      <c r="D12" s="227">
        <v>75.9</v>
      </c>
      <c r="E12" s="228">
        <f>'工长'!G20</f>
        <v>11.98</v>
      </c>
      <c r="F12" s="229">
        <f>D12*E12</f>
        <v>909.2820000000002</v>
      </c>
    </row>
    <row r="13" spans="1:6" ht="19.5" customHeight="1">
      <c r="A13" s="227"/>
      <c r="B13" s="227" t="s">
        <v>264</v>
      </c>
      <c r="C13" s="227" t="s">
        <v>291</v>
      </c>
      <c r="D13" s="230"/>
      <c r="E13" s="228">
        <f>'高级工'!G20</f>
        <v>11.09</v>
      </c>
      <c r="F13" s="229">
        <f>D13*E13</f>
        <v>0</v>
      </c>
    </row>
    <row r="14" spans="1:6" ht="19.5" customHeight="1">
      <c r="A14" s="227"/>
      <c r="B14" s="227" t="s">
        <v>265</v>
      </c>
      <c r="C14" s="227" t="s">
        <v>291</v>
      </c>
      <c r="D14" s="228"/>
      <c r="E14" s="228">
        <f>'中级工'!G20</f>
        <v>9.33</v>
      </c>
      <c r="F14" s="229">
        <f>D14*E14</f>
        <v>0</v>
      </c>
    </row>
    <row r="15" spans="1:6" ht="19.5" customHeight="1">
      <c r="A15" s="227"/>
      <c r="B15" s="227" t="s">
        <v>266</v>
      </c>
      <c r="C15" s="227" t="s">
        <v>291</v>
      </c>
      <c r="D15" s="228">
        <v>3721.5</v>
      </c>
      <c r="E15" s="228">
        <f>'初级工'!G20</f>
        <v>6.55</v>
      </c>
      <c r="F15" s="229">
        <f>D15*E15</f>
        <v>24375.825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SUM(F17:F20)</f>
        <v>#REF!</v>
      </c>
    </row>
    <row r="17" spans="1:6" ht="19.5" customHeight="1">
      <c r="A17" s="227"/>
      <c r="B17" s="227" t="s">
        <v>301</v>
      </c>
      <c r="C17" s="227" t="s">
        <v>302</v>
      </c>
      <c r="D17" s="228">
        <v>23.81</v>
      </c>
      <c r="E17" s="228">
        <v>6</v>
      </c>
      <c r="F17" s="229">
        <f>D17*E17</f>
        <v>142.85999999999999</v>
      </c>
    </row>
    <row r="18" spans="1:6" ht="19.5" customHeight="1">
      <c r="A18" s="227"/>
      <c r="B18" s="227" t="s">
        <v>303</v>
      </c>
      <c r="C18" s="227" t="s">
        <v>283</v>
      </c>
      <c r="D18" s="228">
        <v>43.61</v>
      </c>
      <c r="E18" s="228">
        <v>6</v>
      </c>
      <c r="F18" s="229">
        <f>D18*E18</f>
        <v>261.65999999999997</v>
      </c>
    </row>
    <row r="19" spans="1:6" ht="19.5" customHeight="1">
      <c r="A19" s="227"/>
      <c r="B19" s="227" t="s">
        <v>278</v>
      </c>
      <c r="C19" s="227" t="s">
        <v>407</v>
      </c>
      <c r="D19" s="228">
        <v>24.76</v>
      </c>
      <c r="E19" s="228" t="e">
        <f>#REF!</f>
        <v>#REF!</v>
      </c>
      <c r="F19" s="229" t="e">
        <f>D19*E19</f>
        <v>#REF!</v>
      </c>
    </row>
    <row r="20" spans="1:6" ht="19.5" customHeight="1">
      <c r="A20" s="227"/>
      <c r="B20" s="227" t="s">
        <v>315</v>
      </c>
      <c r="C20" s="227" t="s">
        <v>156</v>
      </c>
      <c r="D20" s="230">
        <v>5</v>
      </c>
      <c r="E20" s="232"/>
      <c r="F20" s="228" t="e">
        <f>(F17+F18+F19)*D20/100</f>
        <v>#REF!</v>
      </c>
    </row>
    <row r="21" spans="1:6" ht="19.5" customHeight="1">
      <c r="A21" s="227">
        <v>3</v>
      </c>
      <c r="B21" s="234" t="s">
        <v>164</v>
      </c>
      <c r="C21" s="222"/>
      <c r="D21" s="231"/>
      <c r="E21" s="232"/>
      <c r="F21" s="228" t="e">
        <f>SUM(F22:F24)</f>
        <v>#REF!</v>
      </c>
    </row>
    <row r="22" spans="1:6" ht="19.5" customHeight="1">
      <c r="A22" s="227"/>
      <c r="B22" s="227" t="s">
        <v>305</v>
      </c>
      <c r="C22" s="234" t="s">
        <v>179</v>
      </c>
      <c r="D22" s="228">
        <v>138.89</v>
      </c>
      <c r="E22" s="228" t="e">
        <f>'台时-1'!C18</f>
        <v>#REF!</v>
      </c>
      <c r="F22" s="228" t="e">
        <f>D22*E22</f>
        <v>#REF!</v>
      </c>
    </row>
    <row r="23" spans="1:6" ht="19.5" customHeight="1">
      <c r="A23" s="227"/>
      <c r="B23" s="227" t="s">
        <v>408</v>
      </c>
      <c r="C23" s="234" t="s">
        <v>179</v>
      </c>
      <c r="D23" s="228">
        <v>34.72</v>
      </c>
      <c r="E23" s="228" t="e">
        <f>'台时-1'!C19</f>
        <v>#REF!</v>
      </c>
      <c r="F23" s="228" t="e">
        <f>D23*E23</f>
        <v>#REF!</v>
      </c>
    </row>
    <row r="24" spans="1:6" ht="19.5" customHeight="1">
      <c r="A24" s="227"/>
      <c r="B24" s="227" t="s">
        <v>318</v>
      </c>
      <c r="C24" s="227" t="s">
        <v>156</v>
      </c>
      <c r="D24" s="228">
        <v>5</v>
      </c>
      <c r="E24" s="228"/>
      <c r="F24" s="228" t="e">
        <f>(F22+F23)*D24/100</f>
        <v>#REF!</v>
      </c>
    </row>
    <row r="25" spans="1:6" ht="19.5" customHeight="1">
      <c r="A25" s="227" t="s">
        <v>57</v>
      </c>
      <c r="B25" s="227" t="s">
        <v>165</v>
      </c>
      <c r="C25" s="227" t="s">
        <v>156</v>
      </c>
      <c r="D25" s="235">
        <v>10</v>
      </c>
      <c r="E25" s="235"/>
      <c r="F25" s="238" t="e">
        <f>F10*D25/100</f>
        <v>#REF!</v>
      </c>
    </row>
    <row r="26" spans="1:6" ht="19.5" customHeight="1">
      <c r="A26" s="227" t="s">
        <v>13</v>
      </c>
      <c r="B26" s="227" t="s">
        <v>166</v>
      </c>
      <c r="C26" s="227" t="s">
        <v>156</v>
      </c>
      <c r="D26" s="235">
        <v>9.5</v>
      </c>
      <c r="E26" s="235"/>
      <c r="F26" s="238" t="e">
        <f>F9*D26/100</f>
        <v>#REF!</v>
      </c>
    </row>
    <row r="27" spans="1:6" ht="19.5" customHeight="1">
      <c r="A27" s="227" t="s">
        <v>21</v>
      </c>
      <c r="B27" s="227" t="s">
        <v>296</v>
      </c>
      <c r="C27" s="227" t="s">
        <v>156</v>
      </c>
      <c r="D27" s="235">
        <v>7</v>
      </c>
      <c r="E27" s="235"/>
      <c r="F27" s="238" t="e">
        <f>(F9+F26)*D27/100</f>
        <v>#REF!</v>
      </c>
    </row>
    <row r="28" spans="1:6" ht="19.5" customHeight="1">
      <c r="A28" s="227" t="s">
        <v>60</v>
      </c>
      <c r="B28" s="227" t="s">
        <v>297</v>
      </c>
      <c r="C28" s="227"/>
      <c r="D28" s="235"/>
      <c r="E28" s="235"/>
      <c r="F28" s="238"/>
    </row>
    <row r="29" spans="1:6" ht="19.5" customHeight="1">
      <c r="A29" s="227" t="s">
        <v>62</v>
      </c>
      <c r="B29" s="227" t="s">
        <v>167</v>
      </c>
      <c r="C29" s="227" t="s">
        <v>156</v>
      </c>
      <c r="D29" s="235">
        <v>9</v>
      </c>
      <c r="E29" s="235"/>
      <c r="F29" s="238" t="e">
        <f>(F9+F26+F27+F28)*D29/100</f>
        <v>#REF!</v>
      </c>
    </row>
    <row r="30" spans="1:6" ht="19.5" customHeight="1" hidden="1">
      <c r="A30" s="227"/>
      <c r="B30" s="227"/>
      <c r="C30" s="227"/>
      <c r="D30" s="227"/>
      <c r="E30" s="227"/>
      <c r="F30" s="228"/>
    </row>
    <row r="31" spans="1:6" ht="19.5" customHeight="1" hidden="1">
      <c r="A31" s="227"/>
      <c r="B31" s="227"/>
      <c r="C31" s="227"/>
      <c r="D31" s="227"/>
      <c r="E31" s="227"/>
      <c r="F31" s="228"/>
    </row>
    <row r="32" spans="1:6" ht="19.5" customHeight="1">
      <c r="A32" s="235"/>
      <c r="B32" s="228" t="s">
        <v>276</v>
      </c>
      <c r="C32" s="235"/>
      <c r="D32" s="235"/>
      <c r="E32" s="235"/>
      <c r="F32" s="238" t="e">
        <f>F9+F26+F27+F28+F29</f>
        <v>#REF!</v>
      </c>
    </row>
    <row r="33" spans="1:6" ht="19.5" customHeight="1" hidden="1">
      <c r="A33" s="243"/>
      <c r="B33" s="228" t="s">
        <v>275</v>
      </c>
      <c r="C33" s="227"/>
      <c r="D33" s="227"/>
      <c r="E33" s="227"/>
      <c r="F33" s="228" t="e">
        <f>F32/100</f>
        <v>#REF!</v>
      </c>
    </row>
  </sheetData>
  <sheetProtection/>
  <mergeCells count="4">
    <mergeCell ref="A1:F1"/>
    <mergeCell ref="B3:D3"/>
    <mergeCell ref="B4:D4"/>
    <mergeCell ref="A5:F7"/>
  </mergeCells>
  <printOptions/>
  <pageMargins left="0.9448818897637796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&amp;C-&amp;P--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5"/>
  </sheetPr>
  <dimension ref="A1:F35"/>
  <sheetViews>
    <sheetView zoomScale="130" zoomScaleNormal="130" workbookViewId="0" topLeftCell="A19">
      <selection activeCell="B13" sqref="B13:C14"/>
    </sheetView>
  </sheetViews>
  <sheetFormatPr defaultColWidth="8.75390625" defaultRowHeight="19.5" customHeight="1"/>
  <cols>
    <col min="1" max="1" width="6.87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269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221" t="s">
        <v>161</v>
      </c>
      <c r="B3" s="472" t="s">
        <v>409</v>
      </c>
      <c r="C3" s="472"/>
      <c r="D3" s="472"/>
      <c r="E3" s="221" t="s">
        <v>38</v>
      </c>
      <c r="F3" s="180" t="s">
        <v>400</v>
      </c>
    </row>
    <row r="4" spans="1:6" ht="24.75" customHeight="1">
      <c r="A4" s="221" t="s">
        <v>251</v>
      </c>
      <c r="B4" s="472" t="s">
        <v>410</v>
      </c>
      <c r="C4" s="472"/>
      <c r="D4" s="472"/>
      <c r="E4" s="221" t="s">
        <v>43</v>
      </c>
      <c r="F4" s="29" t="s">
        <v>345</v>
      </c>
    </row>
    <row r="5" spans="1:6" ht="16.5" customHeight="1">
      <c r="A5" s="473" t="s">
        <v>402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F10+F27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F11+F16+F20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8505.702400000002</v>
      </c>
    </row>
    <row r="12" spans="1:6" ht="19.5" customHeight="1">
      <c r="A12" s="227"/>
      <c r="B12" s="227" t="s">
        <v>262</v>
      </c>
      <c r="C12" s="227" t="s">
        <v>291</v>
      </c>
      <c r="D12" s="227">
        <f>19.6</f>
        <v>19.6</v>
      </c>
      <c r="E12" s="228">
        <f>'工长'!G20</f>
        <v>11.98</v>
      </c>
      <c r="F12" s="229">
        <f>D12*E12</f>
        <v>234.80800000000002</v>
      </c>
    </row>
    <row r="13" spans="1:6" ht="19.5" customHeight="1">
      <c r="A13" s="227"/>
      <c r="B13" s="227" t="s">
        <v>264</v>
      </c>
      <c r="C13" s="227" t="s">
        <v>291</v>
      </c>
      <c r="D13" s="230">
        <v>26.1</v>
      </c>
      <c r="E13" s="228">
        <f>'高级工'!G20</f>
        <v>11.09</v>
      </c>
      <c r="F13" s="229">
        <f>D13*E13</f>
        <v>289.449</v>
      </c>
    </row>
    <row r="14" spans="1:6" ht="19.5" customHeight="1">
      <c r="A14" s="227"/>
      <c r="B14" s="227" t="s">
        <v>265</v>
      </c>
      <c r="C14" s="227" t="s">
        <v>291</v>
      </c>
      <c r="D14" s="228">
        <f>346.2+122.5*1.03+36.5*1.03</f>
        <v>509.97</v>
      </c>
      <c r="E14" s="228">
        <f>'中级工'!G20</f>
        <v>9.33</v>
      </c>
      <c r="F14" s="229">
        <f>D14*E14</f>
        <v>4758.020100000001</v>
      </c>
    </row>
    <row r="15" spans="1:6" ht="19.5" customHeight="1">
      <c r="A15" s="227"/>
      <c r="B15" s="227" t="s">
        <v>266</v>
      </c>
      <c r="C15" s="227" t="s">
        <v>291</v>
      </c>
      <c r="D15" s="228">
        <f>261.2+162.4*1.03+29.9*1.03+31.9*1.03</f>
        <v>492.126</v>
      </c>
      <c r="E15" s="228">
        <f>'初级工'!G20</f>
        <v>6.55</v>
      </c>
      <c r="F15" s="229">
        <f>D15*E15</f>
        <v>3223.4253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SUM(F17:F19)</f>
        <v>#REF!</v>
      </c>
    </row>
    <row r="17" spans="1:6" ht="19.5" customHeight="1">
      <c r="A17" s="227"/>
      <c r="B17" s="233" t="s">
        <v>304</v>
      </c>
      <c r="C17" s="222" t="s">
        <v>196</v>
      </c>
      <c r="D17" s="228">
        <v>103</v>
      </c>
      <c r="E17" s="228" t="e">
        <f>SUM(#REF!)</f>
        <v>#REF!</v>
      </c>
      <c r="F17" s="228" t="e">
        <f>D17*E17</f>
        <v>#REF!</v>
      </c>
    </row>
    <row r="18" spans="1:6" ht="19.5" customHeight="1">
      <c r="A18" s="227"/>
      <c r="B18" s="227" t="s">
        <v>278</v>
      </c>
      <c r="C18" s="222" t="s">
        <v>196</v>
      </c>
      <c r="D18" s="228">
        <v>120</v>
      </c>
      <c r="E18" s="228" t="e">
        <f>SUM(#REF!)</f>
        <v>#REF!</v>
      </c>
      <c r="F18" s="228" t="e">
        <f>D18*E18</f>
        <v>#REF!</v>
      </c>
    </row>
    <row r="19" spans="1:6" ht="19.5" customHeight="1">
      <c r="A19" s="227"/>
      <c r="B19" s="227" t="s">
        <v>293</v>
      </c>
      <c r="C19" s="227" t="s">
        <v>156</v>
      </c>
      <c r="D19" s="230"/>
      <c r="E19" s="232"/>
      <c r="F19" s="228" t="e">
        <f>(F17+F18)*0.005+32.8*1.05*E15*0.2+(37.6*1.06*E14+30.8*1.06*E15+F25)*0.05+(126.2*1.06*E14+167.2*1.06*E15+F23+F24)*0.02</f>
        <v>#REF!</v>
      </c>
    </row>
    <row r="20" spans="1:6" ht="19.5" customHeight="1">
      <c r="A20" s="227">
        <v>3</v>
      </c>
      <c r="B20" s="234" t="s">
        <v>164</v>
      </c>
      <c r="C20" s="222"/>
      <c r="D20" s="231"/>
      <c r="E20" s="232"/>
      <c r="F20" s="228" t="e">
        <f>SUM(F21:F26)</f>
        <v>#REF!</v>
      </c>
    </row>
    <row r="21" spans="1:6" ht="19.5" customHeight="1">
      <c r="A21" s="227"/>
      <c r="B21" s="227" t="s">
        <v>307</v>
      </c>
      <c r="C21" s="234" t="s">
        <v>179</v>
      </c>
      <c r="D21" s="228">
        <f>40.05</f>
        <v>40.05</v>
      </c>
      <c r="E21" s="228" t="e">
        <f>SUM('台时-2'!C6)</f>
        <v>#REF!</v>
      </c>
      <c r="F21" s="228" t="e">
        <f>D21*E21</f>
        <v>#REF!</v>
      </c>
    </row>
    <row r="22" spans="1:6" ht="19.5" customHeight="1">
      <c r="A22" s="227"/>
      <c r="B22" s="234" t="s">
        <v>308</v>
      </c>
      <c r="C22" s="234" t="s">
        <v>179</v>
      </c>
      <c r="D22" s="228">
        <v>21.32</v>
      </c>
      <c r="E22" s="228" t="e">
        <f>SUM('台时-2'!C12)</f>
        <v>#REF!</v>
      </c>
      <c r="F22" s="228" t="e">
        <f>D22*E22</f>
        <v>#REF!</v>
      </c>
    </row>
    <row r="23" spans="1:6" ht="19.5" customHeight="1">
      <c r="A23" s="227"/>
      <c r="B23" s="234" t="s">
        <v>295</v>
      </c>
      <c r="C23" s="234" t="s">
        <v>179</v>
      </c>
      <c r="D23" s="228">
        <f>18*1.03</f>
        <v>18.54</v>
      </c>
      <c r="E23" s="228" t="e">
        <f>SUM('台时-1'!C27)</f>
        <v>#REF!</v>
      </c>
      <c r="F23" s="228" t="e">
        <f>D23*E23</f>
        <v>#REF!</v>
      </c>
    </row>
    <row r="24" spans="1:6" ht="19.5" customHeight="1">
      <c r="A24" s="227"/>
      <c r="B24" s="234" t="s">
        <v>227</v>
      </c>
      <c r="C24" s="234" t="s">
        <v>179</v>
      </c>
      <c r="D24" s="228">
        <f>83*1.03</f>
        <v>85.49000000000001</v>
      </c>
      <c r="E24" s="228">
        <f>SUM('台时-2'!C22)</f>
        <v>0.8172444588779735</v>
      </c>
      <c r="F24" s="228">
        <f>D24*E24</f>
        <v>69.86622878947796</v>
      </c>
    </row>
    <row r="25" spans="1:6" ht="19.5" customHeight="1">
      <c r="A25" s="227"/>
      <c r="B25" s="234" t="s">
        <v>309</v>
      </c>
      <c r="C25" s="234" t="s">
        <v>179</v>
      </c>
      <c r="D25" s="228">
        <f>19.35*1.03</f>
        <v>19.930500000000002</v>
      </c>
      <c r="E25" s="228">
        <f>SUM('台时-4'!C23)</f>
        <v>18.812912072744986</v>
      </c>
      <c r="F25" s="228">
        <f>D25*E25</f>
        <v>374.950744065844</v>
      </c>
    </row>
    <row r="26" spans="1:6" ht="19.5" customHeight="1">
      <c r="A26" s="227"/>
      <c r="B26" s="234" t="s">
        <v>310</v>
      </c>
      <c r="C26" s="227" t="s">
        <v>156</v>
      </c>
      <c r="D26" s="231">
        <v>3</v>
      </c>
      <c r="E26" s="232"/>
      <c r="F26" s="228" t="e">
        <f>(F21+F22)*D26/100</f>
        <v>#REF!</v>
      </c>
    </row>
    <row r="27" spans="1:6" ht="19.5" customHeight="1">
      <c r="A27" s="227" t="s">
        <v>57</v>
      </c>
      <c r="B27" s="227" t="s">
        <v>165</v>
      </c>
      <c r="C27" s="227" t="s">
        <v>156</v>
      </c>
      <c r="D27" s="235">
        <v>10</v>
      </c>
      <c r="E27" s="235"/>
      <c r="F27" s="238" t="e">
        <f>F10*D27/100</f>
        <v>#REF!</v>
      </c>
    </row>
    <row r="28" spans="1:6" ht="19.5" customHeight="1">
      <c r="A28" s="227" t="s">
        <v>13</v>
      </c>
      <c r="B28" s="227" t="s">
        <v>166</v>
      </c>
      <c r="C28" s="227" t="s">
        <v>156</v>
      </c>
      <c r="D28" s="235">
        <v>9.5</v>
      </c>
      <c r="E28" s="235"/>
      <c r="F28" s="238" t="e">
        <f>F9*D28/100</f>
        <v>#REF!</v>
      </c>
    </row>
    <row r="29" spans="1:6" ht="19.5" customHeight="1">
      <c r="A29" s="227" t="s">
        <v>21</v>
      </c>
      <c r="B29" s="227" t="s">
        <v>296</v>
      </c>
      <c r="C29" s="227" t="s">
        <v>156</v>
      </c>
      <c r="D29" s="235">
        <v>7</v>
      </c>
      <c r="E29" s="235"/>
      <c r="F29" s="238" t="e">
        <f>(F9+F28)*D29/100</f>
        <v>#REF!</v>
      </c>
    </row>
    <row r="30" spans="1:6" ht="19.5" customHeight="1">
      <c r="A30" s="227" t="s">
        <v>60</v>
      </c>
      <c r="B30" s="227" t="s">
        <v>297</v>
      </c>
      <c r="C30" s="227"/>
      <c r="D30" s="235"/>
      <c r="E30" s="235"/>
      <c r="F30" s="238" t="e">
        <f>SUM(D17*#REF!*(#REF!-255)+D17*#REF!*(#REF!-70)+D17*#REF!*(#REF!-70)+D25*'台时-4'!J23/1000*(#REF!-2990))</f>
        <v>#REF!</v>
      </c>
    </row>
    <row r="31" spans="1:6" ht="19.5" customHeight="1">
      <c r="A31" s="227" t="s">
        <v>62</v>
      </c>
      <c r="B31" s="227" t="s">
        <v>167</v>
      </c>
      <c r="C31" s="227" t="s">
        <v>156</v>
      </c>
      <c r="D31" s="235">
        <v>9</v>
      </c>
      <c r="E31" s="235"/>
      <c r="F31" s="238" t="e">
        <f>(F9+F28+F29+F30)*D31/100</f>
        <v>#REF!</v>
      </c>
    </row>
    <row r="32" spans="1:6" ht="19.5" customHeight="1" hidden="1">
      <c r="A32" s="227"/>
      <c r="B32" s="227"/>
      <c r="C32" s="227"/>
      <c r="D32" s="227"/>
      <c r="E32" s="227"/>
      <c r="F32" s="228"/>
    </row>
    <row r="33" spans="1:6" ht="19.5" customHeight="1" hidden="1">
      <c r="A33" s="227"/>
      <c r="B33" s="227"/>
      <c r="C33" s="227"/>
      <c r="D33" s="227"/>
      <c r="E33" s="227"/>
      <c r="F33" s="228"/>
    </row>
    <row r="34" spans="1:6" ht="19.5" customHeight="1">
      <c r="A34" s="235"/>
      <c r="B34" s="228" t="s">
        <v>276</v>
      </c>
      <c r="C34" s="235"/>
      <c r="D34" s="235"/>
      <c r="E34" s="235"/>
      <c r="F34" s="238" t="e">
        <f>F9+F28+F29+F30+F31</f>
        <v>#REF!</v>
      </c>
    </row>
    <row r="35" spans="1:6" ht="19.5" customHeight="1" hidden="1">
      <c r="A35" s="243"/>
      <c r="B35" s="228" t="s">
        <v>275</v>
      </c>
      <c r="C35" s="227"/>
      <c r="D35" s="227"/>
      <c r="E35" s="227"/>
      <c r="F35" s="228" t="e">
        <f>F34/100</f>
        <v>#REF!</v>
      </c>
    </row>
  </sheetData>
  <sheetProtection/>
  <mergeCells count="4">
    <mergeCell ref="A1:F1"/>
    <mergeCell ref="B3:D3"/>
    <mergeCell ref="B4:D4"/>
    <mergeCell ref="A5:F7"/>
  </mergeCells>
  <printOptions/>
  <pageMargins left="0.9448818897637796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&amp;C-&amp;P--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5"/>
  </sheetPr>
  <dimension ref="A1:F39"/>
  <sheetViews>
    <sheetView zoomScale="145" zoomScaleNormal="145" workbookViewId="0" topLeftCell="A31">
      <selection activeCell="D31" sqref="D31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177</v>
      </c>
      <c r="C3" s="465"/>
      <c r="D3" s="465"/>
      <c r="E3" s="29" t="s">
        <v>38</v>
      </c>
      <c r="F3" s="180" t="s">
        <v>411</v>
      </c>
    </row>
    <row r="4" spans="1:6" ht="21" customHeight="1">
      <c r="A4" s="29" t="s">
        <v>251</v>
      </c>
      <c r="B4" s="465" t="s">
        <v>412</v>
      </c>
      <c r="C4" s="465"/>
      <c r="D4" s="465"/>
      <c r="E4" s="29" t="s">
        <v>43</v>
      </c>
      <c r="F4" s="29" t="s">
        <v>388</v>
      </c>
    </row>
    <row r="5" spans="1:6" ht="10.5" customHeight="1">
      <c r="A5" s="466" t="s">
        <v>402</v>
      </c>
      <c r="B5" s="466"/>
      <c r="C5" s="466"/>
      <c r="D5" s="466"/>
      <c r="E5" s="466"/>
      <c r="F5" s="466"/>
    </row>
    <row r="6" spans="1:6" ht="10.5" customHeight="1">
      <c r="A6" s="466"/>
      <c r="B6" s="466"/>
      <c r="C6" s="466"/>
      <c r="D6" s="466"/>
      <c r="E6" s="466"/>
      <c r="F6" s="466"/>
    </row>
    <row r="7" spans="1:6" ht="10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289</v>
      </c>
      <c r="C9" s="29"/>
      <c r="D9" s="31"/>
      <c r="E9" s="31"/>
      <c r="F9" s="32" t="e">
        <f>F10+F31</f>
        <v>#REF!</v>
      </c>
    </row>
    <row r="10" spans="1:6" ht="19.5" customHeight="1">
      <c r="A10" s="29" t="s">
        <v>49</v>
      </c>
      <c r="B10" s="29" t="s">
        <v>290</v>
      </c>
      <c r="C10" s="29"/>
      <c r="D10" s="29"/>
      <c r="E10" s="31"/>
      <c r="F10" s="32" t="e">
        <f>F11+F16+F25</f>
        <v>#REF!</v>
      </c>
    </row>
    <row r="11" spans="1:6" ht="19.5" customHeight="1">
      <c r="A11" s="29">
        <v>1</v>
      </c>
      <c r="B11" s="29" t="s">
        <v>162</v>
      </c>
      <c r="C11" s="29"/>
      <c r="D11" s="33"/>
      <c r="E11" s="31"/>
      <c r="F11" s="32">
        <f>SUM(F12:F15)</f>
        <v>1822.738</v>
      </c>
    </row>
    <row r="12" spans="1:6" ht="19.5" customHeight="1">
      <c r="A12" s="29"/>
      <c r="B12" s="29" t="s">
        <v>262</v>
      </c>
      <c r="C12" s="29" t="s">
        <v>291</v>
      </c>
      <c r="D12" s="33">
        <f>14.2+1.1</f>
        <v>15.299999999999999</v>
      </c>
      <c r="E12" s="31">
        <f>'工长'!G20</f>
        <v>11.98</v>
      </c>
      <c r="F12" s="32">
        <f>D12*E12</f>
        <v>183.29399999999998</v>
      </c>
    </row>
    <row r="13" spans="1:6" ht="19.5" customHeight="1">
      <c r="A13" s="29"/>
      <c r="B13" s="29" t="s">
        <v>264</v>
      </c>
      <c r="C13" s="29" t="s">
        <v>291</v>
      </c>
      <c r="D13" s="29">
        <f>3.7+48.6</f>
        <v>52.300000000000004</v>
      </c>
      <c r="E13" s="31">
        <f>'高级工'!G20</f>
        <v>11.09</v>
      </c>
      <c r="F13" s="32">
        <f>D13*E13</f>
        <v>580.0070000000001</v>
      </c>
    </row>
    <row r="14" spans="1:6" ht="19.5" customHeight="1">
      <c r="A14" s="29"/>
      <c r="B14" s="29" t="s">
        <v>265</v>
      </c>
      <c r="C14" s="29" t="s">
        <v>291</v>
      </c>
      <c r="D14" s="33">
        <f>81.2+4.2</f>
        <v>85.4</v>
      </c>
      <c r="E14" s="31">
        <f>'中级工'!G20</f>
        <v>9.33</v>
      </c>
      <c r="F14" s="32">
        <f>D14*E14</f>
        <v>796.782</v>
      </c>
    </row>
    <row r="15" spans="1:6" ht="19.5" customHeight="1">
      <c r="A15" s="29"/>
      <c r="B15" s="29" t="s">
        <v>266</v>
      </c>
      <c r="C15" s="29" t="s">
        <v>291</v>
      </c>
      <c r="D15" s="33">
        <f>38.6+1.5</f>
        <v>40.1</v>
      </c>
      <c r="E15" s="31">
        <f>'初级工'!G20</f>
        <v>6.55</v>
      </c>
      <c r="F15" s="32">
        <f>D15*E15</f>
        <v>262.65500000000003</v>
      </c>
    </row>
    <row r="16" spans="1:6" ht="19.5" customHeight="1">
      <c r="A16" s="29">
        <v>2</v>
      </c>
      <c r="B16" s="29" t="s">
        <v>163</v>
      </c>
      <c r="C16" s="29"/>
      <c r="D16" s="34"/>
      <c r="E16" s="35"/>
      <c r="F16" s="31">
        <f>SUM(F17:F24)</f>
        <v>1686.7824</v>
      </c>
    </row>
    <row r="17" spans="1:6" ht="19.5" customHeight="1">
      <c r="A17" s="29"/>
      <c r="B17" s="39" t="s">
        <v>413</v>
      </c>
      <c r="C17" s="43" t="s">
        <v>330</v>
      </c>
      <c r="D17" s="31">
        <v>81</v>
      </c>
      <c r="E17" s="31">
        <v>5</v>
      </c>
      <c r="F17" s="31">
        <f aca="true" t="shared" si="0" ref="F17:F23">D17*E17</f>
        <v>405</v>
      </c>
    </row>
    <row r="18" spans="1:6" ht="19.5" customHeight="1">
      <c r="A18" s="29"/>
      <c r="B18" s="43" t="s">
        <v>414</v>
      </c>
      <c r="C18" s="43" t="s">
        <v>330</v>
      </c>
      <c r="D18" s="31">
        <v>44</v>
      </c>
      <c r="E18" s="31">
        <v>5</v>
      </c>
      <c r="F18" s="31">
        <f t="shared" si="0"/>
        <v>220</v>
      </c>
    </row>
    <row r="19" spans="1:6" ht="19.5" customHeight="1">
      <c r="A19" s="29"/>
      <c r="B19" s="29" t="s">
        <v>415</v>
      </c>
      <c r="C19" s="43" t="s">
        <v>330</v>
      </c>
      <c r="D19" s="31">
        <v>26</v>
      </c>
      <c r="E19" s="31">
        <v>5</v>
      </c>
      <c r="F19" s="31">
        <f t="shared" si="0"/>
        <v>130</v>
      </c>
    </row>
    <row r="20" spans="1:6" ht="19.5" customHeight="1">
      <c r="A20" s="29"/>
      <c r="B20" s="39" t="s">
        <v>329</v>
      </c>
      <c r="C20" s="43" t="s">
        <v>330</v>
      </c>
      <c r="D20" s="31">
        <f>124+2</f>
        <v>126</v>
      </c>
      <c r="E20" s="31">
        <v>5</v>
      </c>
      <c r="F20" s="31">
        <f t="shared" si="0"/>
        <v>630</v>
      </c>
    </row>
    <row r="21" spans="1:6" ht="19.5" customHeight="1">
      <c r="A21" s="29"/>
      <c r="B21" s="29" t="s">
        <v>416</v>
      </c>
      <c r="C21" s="43" t="s">
        <v>330</v>
      </c>
      <c r="D21" s="31">
        <v>28.68</v>
      </c>
      <c r="E21" s="31">
        <f>E20</f>
        <v>5</v>
      </c>
      <c r="F21" s="31">
        <f t="shared" si="0"/>
        <v>143.4</v>
      </c>
    </row>
    <row r="22" spans="1:6" ht="19.5" customHeight="1">
      <c r="A22" s="29"/>
      <c r="B22" s="29" t="s">
        <v>417</v>
      </c>
      <c r="C22" s="43" t="s">
        <v>330</v>
      </c>
      <c r="D22" s="31">
        <f>0.5+1.98</f>
        <v>2.48</v>
      </c>
      <c r="E22" s="31">
        <v>6.5</v>
      </c>
      <c r="F22" s="31">
        <f t="shared" si="0"/>
        <v>16.12</v>
      </c>
    </row>
    <row r="23" spans="1:6" ht="19.5" customHeight="1">
      <c r="A23" s="29"/>
      <c r="B23" s="29" t="s">
        <v>418</v>
      </c>
      <c r="C23" s="43" t="s">
        <v>196</v>
      </c>
      <c r="D23" s="31">
        <v>0.28</v>
      </c>
      <c r="E23" s="31">
        <v>400</v>
      </c>
      <c r="F23" s="31">
        <f t="shared" si="0"/>
        <v>112.00000000000001</v>
      </c>
    </row>
    <row r="24" spans="1:6" ht="19.5" customHeight="1">
      <c r="A24" s="29"/>
      <c r="B24" s="29" t="s">
        <v>293</v>
      </c>
      <c r="C24" s="29" t="s">
        <v>156</v>
      </c>
      <c r="D24" s="34">
        <v>2</v>
      </c>
      <c r="E24" s="35"/>
      <c r="F24" s="31">
        <f>(F17+F18+F19+F20+F22+F23)*D24/100</f>
        <v>30.2624</v>
      </c>
    </row>
    <row r="25" spans="1:6" ht="19.5" customHeight="1">
      <c r="A25" s="29">
        <v>3</v>
      </c>
      <c r="B25" s="39" t="s">
        <v>164</v>
      </c>
      <c r="C25" s="43"/>
      <c r="D25" s="34"/>
      <c r="E25" s="35"/>
      <c r="F25" s="31" t="e">
        <f>SUM(F27:F30)</f>
        <v>#REF!</v>
      </c>
    </row>
    <row r="26" spans="1:6" ht="19.5" customHeight="1">
      <c r="A26" s="29"/>
      <c r="B26" s="29" t="s">
        <v>334</v>
      </c>
      <c r="C26" s="39" t="s">
        <v>179</v>
      </c>
      <c r="D26" s="31">
        <v>8.5</v>
      </c>
      <c r="E26" s="31">
        <f>SUM('台时-3'!C12)</f>
        <v>65.8541237314281</v>
      </c>
      <c r="F26" s="31">
        <f>D26*E26</f>
        <v>559.7600517171388</v>
      </c>
    </row>
    <row r="27" spans="1:6" ht="19.5" customHeight="1">
      <c r="A27" s="29"/>
      <c r="B27" s="39" t="s">
        <v>234</v>
      </c>
      <c r="C27" s="39" t="s">
        <v>179</v>
      </c>
      <c r="D27" s="31">
        <v>0.06</v>
      </c>
      <c r="E27" s="31" t="e">
        <f>SUM('台时-4'!C15)</f>
        <v>#REF!</v>
      </c>
      <c r="F27" s="31" t="e">
        <f>D27*E27</f>
        <v>#REF!</v>
      </c>
    </row>
    <row r="28" spans="1:6" ht="19.5" customHeight="1">
      <c r="A28" s="29"/>
      <c r="B28" s="39" t="s">
        <v>223</v>
      </c>
      <c r="C28" s="39" t="s">
        <v>179</v>
      </c>
      <c r="D28" s="31">
        <v>0.37</v>
      </c>
      <c r="E28" s="31">
        <f>SUM('台时-2'!C13)</f>
        <v>51.10840894698385</v>
      </c>
      <c r="F28" s="31">
        <f>D28*E28</f>
        <v>18.910111310384025</v>
      </c>
    </row>
    <row r="29" spans="1:6" ht="19.5" customHeight="1">
      <c r="A29" s="29"/>
      <c r="B29" s="29" t="s">
        <v>419</v>
      </c>
      <c r="C29" s="39" t="s">
        <v>179</v>
      </c>
      <c r="D29" s="31">
        <f>2+0.7</f>
        <v>2.7</v>
      </c>
      <c r="E29" s="31" t="e">
        <f>SUM('台时-4'!C12)</f>
        <v>#REF!</v>
      </c>
      <c r="F29" s="31" t="e">
        <f>D29*E29</f>
        <v>#REF!</v>
      </c>
    </row>
    <row r="30" spans="1:6" ht="19.5" customHeight="1">
      <c r="A30" s="29"/>
      <c r="B30" s="39" t="s">
        <v>310</v>
      </c>
      <c r="C30" s="29" t="s">
        <v>156</v>
      </c>
      <c r="D30" s="34">
        <v>5</v>
      </c>
      <c r="E30" s="35"/>
      <c r="F30" s="31" t="e">
        <f>(F27+F28+F29)*D30/100</f>
        <v>#REF!</v>
      </c>
    </row>
    <row r="31" spans="1:6" ht="19.5" customHeight="1">
      <c r="A31" s="29" t="s">
        <v>57</v>
      </c>
      <c r="B31" s="29" t="s">
        <v>165</v>
      </c>
      <c r="C31" s="29" t="s">
        <v>156</v>
      </c>
      <c r="D31" s="29">
        <v>10</v>
      </c>
      <c r="E31" s="29"/>
      <c r="F31" s="31" t="e">
        <f>SUM(F10)*D31/100</f>
        <v>#REF!</v>
      </c>
    </row>
    <row r="32" spans="1:6" ht="19.5" customHeight="1">
      <c r="A32" s="29" t="s">
        <v>13</v>
      </c>
      <c r="B32" s="29" t="s">
        <v>166</v>
      </c>
      <c r="C32" s="29" t="s">
        <v>156</v>
      </c>
      <c r="D32" s="29">
        <v>9.5</v>
      </c>
      <c r="E32" s="29"/>
      <c r="F32" s="31" t="e">
        <f>SUM(F9*D32/100)</f>
        <v>#REF!</v>
      </c>
    </row>
    <row r="33" spans="1:6" ht="19.5" customHeight="1">
      <c r="A33" s="29" t="s">
        <v>21</v>
      </c>
      <c r="B33" s="29" t="s">
        <v>296</v>
      </c>
      <c r="C33" s="29" t="s">
        <v>156</v>
      </c>
      <c r="D33" s="29">
        <v>7</v>
      </c>
      <c r="E33" s="29"/>
      <c r="F33" s="31" t="e">
        <f>SUM(F9+F32)*D33/100</f>
        <v>#REF!</v>
      </c>
    </row>
    <row r="34" spans="1:6" ht="19.5" customHeight="1">
      <c r="A34" s="29" t="s">
        <v>60</v>
      </c>
      <c r="B34" s="29" t="s">
        <v>297</v>
      </c>
      <c r="C34" s="29"/>
      <c r="D34" s="29"/>
      <c r="E34" s="29"/>
      <c r="F34" s="31" t="e">
        <f>SUM(D26*'台时-3'!J12/1000*(#REF!-2990)+D28*'台时-2'!H13/1000*(#REF!-3075))</f>
        <v>#REF!</v>
      </c>
    </row>
    <row r="35" spans="1:6" ht="19.5" customHeight="1">
      <c r="A35" s="29" t="s">
        <v>62</v>
      </c>
      <c r="B35" s="29" t="s">
        <v>167</v>
      </c>
      <c r="C35" s="29" t="s">
        <v>156</v>
      </c>
      <c r="D35" s="29">
        <v>9</v>
      </c>
      <c r="E35" s="29"/>
      <c r="F35" s="31" t="e">
        <f>SUM(F9+F32+F33+F34)*D35/100</f>
        <v>#REF!</v>
      </c>
    </row>
    <row r="36" spans="1:6" ht="19.5" customHeight="1" hidden="1">
      <c r="A36" s="29"/>
      <c r="B36" s="29"/>
      <c r="C36" s="29"/>
      <c r="D36" s="29"/>
      <c r="E36" s="29"/>
      <c r="F36" s="31"/>
    </row>
    <row r="37" spans="1:6" ht="19.5" customHeight="1">
      <c r="A37" s="29"/>
      <c r="B37" s="31" t="s">
        <v>420</v>
      </c>
      <c r="C37" s="29"/>
      <c r="D37" s="29"/>
      <c r="E37" s="29"/>
      <c r="F37" s="31" t="e">
        <f>F9+F32+F33+F34+F35</f>
        <v>#REF!</v>
      </c>
    </row>
    <row r="38" spans="1:6" ht="19.5" customHeight="1" hidden="1">
      <c r="A38" s="29"/>
      <c r="B38" s="31"/>
      <c r="C38" s="29"/>
      <c r="D38" s="29"/>
      <c r="E38" s="29"/>
      <c r="F38" s="31"/>
    </row>
    <row r="39" spans="1:6" ht="19.5" customHeight="1" hidden="1">
      <c r="A39" s="29"/>
      <c r="B39" s="36"/>
      <c r="C39" s="36"/>
      <c r="D39" s="36"/>
      <c r="E39" s="36"/>
      <c r="F39" s="37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F1"/>
    <mergeCell ref="B3:D3"/>
    <mergeCell ref="B4:D4"/>
    <mergeCell ref="A5:F7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&amp;C-&amp;P--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5"/>
  </sheetPr>
  <dimension ref="A1:K44"/>
  <sheetViews>
    <sheetView workbookViewId="0" topLeftCell="A9">
      <selection activeCell="D19" sqref="D19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8" width="9.00390625" style="27" bestFit="1" customWidth="1"/>
    <col min="9" max="12" width="8.625" style="27" hidden="1" customWidth="1"/>
    <col min="13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421</v>
      </c>
      <c r="C3" s="465"/>
      <c r="D3" s="465"/>
      <c r="E3" s="29" t="s">
        <v>38</v>
      </c>
      <c r="F3" s="180" t="s">
        <v>422</v>
      </c>
    </row>
    <row r="4" spans="1:6" ht="21" customHeight="1">
      <c r="A4" s="29" t="s">
        <v>251</v>
      </c>
      <c r="B4" s="466">
        <v>90009</v>
      </c>
      <c r="C4" s="466"/>
      <c r="D4" s="466"/>
      <c r="E4" s="29" t="s">
        <v>43</v>
      </c>
      <c r="F4" s="29" t="s">
        <v>345</v>
      </c>
    </row>
    <row r="5" spans="1:6" ht="19.5" customHeight="1">
      <c r="A5" s="466" t="s">
        <v>423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>
        <f>F10+F20</f>
        <v>27823.774000000005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>
        <f>F11+F16</f>
        <v>25294.340000000004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SUM(F12:F15)</f>
        <v>3672.26</v>
      </c>
    </row>
    <row r="12" spans="1:6" ht="19.5" customHeight="1">
      <c r="A12" s="29"/>
      <c r="B12" s="29" t="s">
        <v>262</v>
      </c>
      <c r="C12" s="29" t="s">
        <v>291</v>
      </c>
      <c r="D12" s="33">
        <v>23</v>
      </c>
      <c r="E12" s="31">
        <f>'工长'!G20</f>
        <v>11.98</v>
      </c>
      <c r="F12" s="32">
        <f>D12*E12</f>
        <v>275.54</v>
      </c>
    </row>
    <row r="13" spans="1:6" ht="19.5" customHeight="1" hidden="1">
      <c r="A13" s="29"/>
      <c r="B13" s="29" t="s">
        <v>264</v>
      </c>
      <c r="C13" s="29" t="s">
        <v>291</v>
      </c>
      <c r="D13" s="244"/>
      <c r="E13" s="31">
        <f>'高级工'!G20</f>
        <v>11.09</v>
      </c>
      <c r="F13" s="32">
        <f>D13*E13</f>
        <v>0</v>
      </c>
    </row>
    <row r="14" spans="1:6" ht="19.5" customHeight="1">
      <c r="A14" s="29"/>
      <c r="B14" s="29" t="s">
        <v>265</v>
      </c>
      <c r="C14" s="29" t="s">
        <v>291</v>
      </c>
      <c r="D14" s="244">
        <v>204</v>
      </c>
      <c r="E14" s="31">
        <f>'中级工'!G20</f>
        <v>9.33</v>
      </c>
      <c r="F14" s="32">
        <f>D14*E14</f>
        <v>1903.32</v>
      </c>
    </row>
    <row r="15" spans="1:8" ht="19.5" customHeight="1">
      <c r="A15" s="29"/>
      <c r="B15" s="29" t="s">
        <v>266</v>
      </c>
      <c r="C15" s="29" t="s">
        <v>291</v>
      </c>
      <c r="D15" s="33">
        <v>228</v>
      </c>
      <c r="E15" s="31">
        <f>'初级工'!G20</f>
        <v>6.55</v>
      </c>
      <c r="F15" s="31">
        <f>D15*E15</f>
        <v>1493.3999999999999</v>
      </c>
      <c r="H15" s="42"/>
    </row>
    <row r="16" spans="1:6" ht="19.5" customHeight="1">
      <c r="A16" s="29">
        <v>2</v>
      </c>
      <c r="B16" s="29" t="s">
        <v>163</v>
      </c>
      <c r="C16" s="29"/>
      <c r="D16" s="33"/>
      <c r="E16" s="31"/>
      <c r="F16" s="31">
        <f>SUM(F17:F19)</f>
        <v>21622.08</v>
      </c>
    </row>
    <row r="17" spans="1:6" ht="19.5" customHeight="1">
      <c r="A17" s="29"/>
      <c r="B17" s="29" t="s">
        <v>198</v>
      </c>
      <c r="C17" s="43" t="s">
        <v>196</v>
      </c>
      <c r="D17" s="33">
        <v>113</v>
      </c>
      <c r="E17" s="31">
        <v>70</v>
      </c>
      <c r="F17" s="31">
        <f>D17*E17</f>
        <v>7910</v>
      </c>
    </row>
    <row r="18" spans="1:9" ht="19.5" customHeight="1">
      <c r="A18" s="29"/>
      <c r="B18" s="29" t="s">
        <v>424</v>
      </c>
      <c r="C18" s="43" t="s">
        <v>383</v>
      </c>
      <c r="D18" s="33">
        <f>397*2.5</f>
        <v>992.5</v>
      </c>
      <c r="E18" s="31">
        <v>13.6</v>
      </c>
      <c r="F18" s="31">
        <f>D18*E18</f>
        <v>13498</v>
      </c>
      <c r="I18" s="27">
        <v>1.05</v>
      </c>
    </row>
    <row r="19" spans="1:9" ht="19.5" customHeight="1">
      <c r="A19" s="29"/>
      <c r="B19" s="29" t="s">
        <v>315</v>
      </c>
      <c r="C19" s="29" t="s">
        <v>156</v>
      </c>
      <c r="D19" s="33">
        <v>1</v>
      </c>
      <c r="E19" s="35"/>
      <c r="F19" s="31">
        <f>(F17+F18)*D19/100</f>
        <v>214.08</v>
      </c>
      <c r="I19" s="27">
        <f>1/0.23</f>
        <v>4.3478260869565215</v>
      </c>
    </row>
    <row r="20" spans="1:11" ht="19.5" customHeight="1">
      <c r="A20" s="29" t="s">
        <v>57</v>
      </c>
      <c r="B20" s="29" t="s">
        <v>165</v>
      </c>
      <c r="C20" s="29" t="s">
        <v>156</v>
      </c>
      <c r="D20" s="29">
        <v>10</v>
      </c>
      <c r="E20" s="29"/>
      <c r="F20" s="31">
        <f>F10*D20/100</f>
        <v>2529.434</v>
      </c>
      <c r="K20" s="27" t="e">
        <f>I19*#REF!</f>
        <v>#REF!</v>
      </c>
    </row>
    <row r="21" spans="1:11" ht="19.5" customHeight="1">
      <c r="A21" s="29" t="s">
        <v>13</v>
      </c>
      <c r="B21" s="29" t="s">
        <v>166</v>
      </c>
      <c r="C21" s="29" t="s">
        <v>156</v>
      </c>
      <c r="D21" s="29">
        <v>12.5</v>
      </c>
      <c r="E21" s="29"/>
      <c r="F21" s="31">
        <f>F9*D21/100</f>
        <v>3477.9717500000006</v>
      </c>
      <c r="K21" s="27" t="e">
        <f>K20*1.05</f>
        <v>#REF!</v>
      </c>
    </row>
    <row r="22" spans="1:6" ht="19.5" customHeight="1">
      <c r="A22" s="29" t="s">
        <v>21</v>
      </c>
      <c r="B22" s="29" t="s">
        <v>296</v>
      </c>
      <c r="C22" s="29" t="s">
        <v>156</v>
      </c>
      <c r="D22" s="29">
        <v>7</v>
      </c>
      <c r="E22" s="29"/>
      <c r="F22" s="31">
        <f>(F9+F21)*D22/100</f>
        <v>2191.1222025000006</v>
      </c>
    </row>
    <row r="23" spans="1:6" ht="19.5" customHeight="1">
      <c r="A23" s="29" t="s">
        <v>60</v>
      </c>
      <c r="B23" s="29" t="s">
        <v>297</v>
      </c>
      <c r="C23" s="29"/>
      <c r="D23" s="29"/>
      <c r="E23" s="29"/>
      <c r="F23" s="31" t="e">
        <f>SUM(D17*(#REF!-70))</f>
        <v>#REF!</v>
      </c>
    </row>
    <row r="24" spans="1:6" ht="19.5" customHeight="1">
      <c r="A24" s="29" t="s">
        <v>62</v>
      </c>
      <c r="B24" s="29" t="s">
        <v>167</v>
      </c>
      <c r="C24" s="29" t="s">
        <v>156</v>
      </c>
      <c r="D24" s="29">
        <v>9</v>
      </c>
      <c r="E24" s="29"/>
      <c r="F24" s="31" t="e">
        <f>(F9+F21+F22+F23)*D24/100</f>
        <v>#REF!</v>
      </c>
    </row>
    <row r="25" spans="1:6" ht="19.5" customHeight="1" hidden="1">
      <c r="A25" s="29"/>
      <c r="B25" s="29"/>
      <c r="C25" s="29"/>
      <c r="D25" s="29"/>
      <c r="E25" s="29"/>
      <c r="F25" s="31"/>
    </row>
    <row r="26" spans="1:6" ht="19.5" customHeight="1" hidden="1">
      <c r="A26" s="29"/>
      <c r="B26" s="29"/>
      <c r="C26" s="43"/>
      <c r="D26" s="33"/>
      <c r="E26" s="32"/>
      <c r="F26" s="31"/>
    </row>
    <row r="27" spans="1:6" ht="19.5" customHeight="1" hidden="1">
      <c r="A27" s="29"/>
      <c r="B27" s="29"/>
      <c r="C27" s="29"/>
      <c r="D27" s="29"/>
      <c r="E27" s="29"/>
      <c r="F27" s="31"/>
    </row>
    <row r="28" spans="1:6" ht="19.5" customHeight="1" hidden="1">
      <c r="A28" s="29"/>
      <c r="B28" s="29"/>
      <c r="C28" s="29"/>
      <c r="D28" s="29"/>
      <c r="E28" s="29"/>
      <c r="F28" s="31"/>
    </row>
    <row r="29" spans="1:6" ht="19.5" customHeight="1" hidden="1">
      <c r="A29" s="29"/>
      <c r="B29" s="29"/>
      <c r="C29" s="29"/>
      <c r="D29" s="29"/>
      <c r="E29" s="29"/>
      <c r="F29" s="31"/>
    </row>
    <row r="30" spans="1:6" ht="19.5" customHeight="1">
      <c r="A30" s="29"/>
      <c r="B30" s="31" t="s">
        <v>276</v>
      </c>
      <c r="C30" s="29"/>
      <c r="D30" s="29"/>
      <c r="E30" s="29"/>
      <c r="F30" s="31" t="e">
        <f>SUM(F9+F21+F22+F23+F24)</f>
        <v>#REF!</v>
      </c>
    </row>
    <row r="31" spans="1:6" ht="19.5" customHeight="1" hidden="1">
      <c r="A31" s="29"/>
      <c r="B31" s="31" t="s">
        <v>275</v>
      </c>
      <c r="C31" s="29"/>
      <c r="D31" s="29"/>
      <c r="E31" s="29"/>
      <c r="F31" s="31" t="e">
        <f>F30/100</f>
        <v>#REF!</v>
      </c>
    </row>
    <row r="32" spans="1:6" ht="19.5" customHeight="1">
      <c r="A32" s="29"/>
      <c r="B32" s="31"/>
      <c r="C32" s="29"/>
      <c r="D32" s="29"/>
      <c r="E32" s="29"/>
      <c r="F32" s="31"/>
    </row>
    <row r="33" spans="1:6" ht="19.5" customHeight="1">
      <c r="A33" s="29"/>
      <c r="B33" s="31"/>
      <c r="C33" s="36"/>
      <c r="D33" s="36"/>
      <c r="E33" s="36"/>
      <c r="F33" s="31"/>
    </row>
    <row r="34" ht="19.5" customHeight="1"/>
    <row r="35" ht="19.5" customHeight="1"/>
    <row r="36" ht="19.5" customHeight="1" hidden="1"/>
    <row r="37" ht="19.5" customHeight="1" hidden="1">
      <c r="C37" s="27">
        <f>1*1*5</f>
        <v>5</v>
      </c>
    </row>
    <row r="38" spans="3:4" ht="19.5" customHeight="1" hidden="1">
      <c r="C38" s="27">
        <f>1*4*3+1*1*2</f>
        <v>14</v>
      </c>
      <c r="D38" s="27">
        <v>3</v>
      </c>
    </row>
    <row r="39" spans="3:4" ht="19.5" customHeight="1" hidden="1">
      <c r="C39" s="27">
        <f>C38*D39/D38*1.06</f>
        <v>494.6666666666667</v>
      </c>
      <c r="D39" s="27">
        <v>100</v>
      </c>
    </row>
    <row r="40" spans="3:4" ht="19.5" customHeight="1" hidden="1">
      <c r="C40" s="27">
        <f>(0.5*2*5+1*2*5+0.5*1*2)*2</f>
        <v>32</v>
      </c>
      <c r="D40" s="27">
        <v>5</v>
      </c>
    </row>
    <row r="41" spans="3:4" ht="19.5" customHeight="1" hidden="1">
      <c r="C41" s="27">
        <f>C40*D41/D40*1.06</f>
        <v>678.4000000000001</v>
      </c>
      <c r="D41" s="27">
        <v>100</v>
      </c>
    </row>
    <row r="42" ht="19.5" customHeight="1" hidden="1"/>
    <row r="43" spans="3:4" ht="19.5" customHeight="1" hidden="1">
      <c r="C43" s="27">
        <f>1*2*10+0.6*10*2+1*0.6*2</f>
        <v>33.2</v>
      </c>
      <c r="D43" s="245">
        <f>1*0.6*10</f>
        <v>6</v>
      </c>
    </row>
    <row r="44" spans="3:4" ht="14.25" hidden="1">
      <c r="C44" s="27">
        <f>C43*D44/D43*1.03</f>
        <v>569.9333333333334</v>
      </c>
      <c r="D44" s="27">
        <v>100</v>
      </c>
    </row>
  </sheetData>
  <sheetProtection/>
  <mergeCells count="4">
    <mergeCell ref="A1:F1"/>
    <mergeCell ref="B3:D3"/>
    <mergeCell ref="B4:D4"/>
    <mergeCell ref="A5:F7"/>
  </mergeCells>
  <printOptions horizontalCentered="1"/>
  <pageMargins left="0.7480314960629921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&amp;C-&amp;P--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/>
  </sheetPr>
  <dimension ref="A1:T66"/>
  <sheetViews>
    <sheetView zoomScale="70" zoomScaleNormal="70" workbookViewId="0" topLeftCell="F36">
      <selection activeCell="O53" sqref="O53"/>
    </sheetView>
  </sheetViews>
  <sheetFormatPr defaultColWidth="8.125" defaultRowHeight="14.25"/>
  <cols>
    <col min="1" max="1" width="6.25390625" style="246" customWidth="1"/>
    <col min="2" max="2" width="9.375" style="246" customWidth="1"/>
    <col min="3" max="3" width="8.25390625" style="246" customWidth="1"/>
    <col min="4" max="8" width="8.375" style="246" customWidth="1"/>
    <col min="9" max="9" width="8.75390625" style="246" customWidth="1"/>
    <col min="10" max="19" width="8.125" style="246" customWidth="1"/>
    <col min="20" max="20" width="9.75390625" style="246" customWidth="1"/>
    <col min="21" max="16384" width="8.125" style="246" customWidth="1"/>
  </cols>
  <sheetData>
    <row r="1" spans="1:20" ht="41.25" customHeight="1">
      <c r="A1" s="481" t="s">
        <v>425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</row>
    <row r="2" spans="1:20" ht="18.75" customHeight="1">
      <c r="A2" s="476" t="s">
        <v>426</v>
      </c>
      <c r="B2" s="478" t="s">
        <v>427</v>
      </c>
      <c r="C2" s="478" t="s">
        <v>428</v>
      </c>
      <c r="D2" s="478"/>
      <c r="E2" s="478"/>
      <c r="F2" s="478"/>
      <c r="G2" s="478"/>
      <c r="H2" s="478"/>
      <c r="I2" s="478"/>
      <c r="J2" s="478"/>
      <c r="K2" s="483" t="s">
        <v>429</v>
      </c>
      <c r="L2" s="484"/>
      <c r="M2" s="484"/>
      <c r="N2" s="484"/>
      <c r="O2" s="484"/>
      <c r="P2" s="484"/>
      <c r="Q2" s="484"/>
      <c r="R2" s="485"/>
      <c r="S2" s="478" t="s">
        <v>430</v>
      </c>
      <c r="T2" s="482"/>
    </row>
    <row r="3" spans="1:20" ht="18.75" customHeight="1">
      <c r="A3" s="477"/>
      <c r="B3" s="474"/>
      <c r="C3" s="474" t="s">
        <v>431</v>
      </c>
      <c r="D3" s="474"/>
      <c r="E3" s="479" t="s">
        <v>432</v>
      </c>
      <c r="F3" s="480"/>
      <c r="G3" s="474" t="s">
        <v>433</v>
      </c>
      <c r="H3" s="474"/>
      <c r="I3" s="474" t="s">
        <v>434</v>
      </c>
      <c r="J3" s="474"/>
      <c r="K3" s="479" t="s">
        <v>246</v>
      </c>
      <c r="L3" s="480"/>
      <c r="M3" s="474" t="s">
        <v>169</v>
      </c>
      <c r="N3" s="474"/>
      <c r="O3" s="474" t="s">
        <v>435</v>
      </c>
      <c r="P3" s="474"/>
      <c r="Q3" s="474" t="s">
        <v>436</v>
      </c>
      <c r="R3" s="474"/>
      <c r="S3" s="474" t="s">
        <v>89</v>
      </c>
      <c r="T3" s="475"/>
    </row>
    <row r="4" spans="1:20" ht="27.75" customHeight="1">
      <c r="A4" s="477"/>
      <c r="B4" s="474"/>
      <c r="C4" s="249" t="s">
        <v>437</v>
      </c>
      <c r="D4" s="249" t="s">
        <v>428</v>
      </c>
      <c r="E4" s="249" t="s">
        <v>437</v>
      </c>
      <c r="F4" s="249" t="s">
        <v>428</v>
      </c>
      <c r="G4" s="249" t="s">
        <v>437</v>
      </c>
      <c r="H4" s="249" t="s">
        <v>428</v>
      </c>
      <c r="I4" s="249" t="s">
        <v>437</v>
      </c>
      <c r="J4" s="249" t="s">
        <v>428</v>
      </c>
      <c r="K4" s="249" t="s">
        <v>437</v>
      </c>
      <c r="L4" s="249" t="s">
        <v>438</v>
      </c>
      <c r="M4" s="249" t="s">
        <v>437</v>
      </c>
      <c r="N4" s="249" t="s">
        <v>438</v>
      </c>
      <c r="O4" s="249" t="s">
        <v>437</v>
      </c>
      <c r="P4" s="249" t="s">
        <v>438</v>
      </c>
      <c r="Q4" s="249" t="s">
        <v>438</v>
      </c>
      <c r="R4" s="249" t="s">
        <v>439</v>
      </c>
      <c r="S4" s="249" t="s">
        <v>440</v>
      </c>
      <c r="T4" s="263" t="s">
        <v>441</v>
      </c>
    </row>
    <row r="5" spans="1:20" ht="18.75" customHeight="1">
      <c r="A5" s="248" t="s">
        <v>442</v>
      </c>
      <c r="B5" s="249">
        <v>0</v>
      </c>
      <c r="C5" s="250">
        <f>1.92+0.45</f>
        <v>2.37</v>
      </c>
      <c r="D5" s="250"/>
      <c r="E5" s="250">
        <f>1.4*0.22</f>
        <v>0.308</v>
      </c>
      <c r="F5" s="250"/>
      <c r="G5" s="250">
        <f>0.31+0.11+0.04</f>
        <v>0.45999999999999996</v>
      </c>
      <c r="H5" s="250"/>
      <c r="I5" s="250">
        <v>0.1</v>
      </c>
      <c r="J5" s="250"/>
      <c r="K5" s="250">
        <f>0.77*1.15</f>
        <v>0.8855</v>
      </c>
      <c r="L5" s="251"/>
      <c r="M5" s="250">
        <f>0.37*1.5</f>
        <v>0.5549999999999999</v>
      </c>
      <c r="N5" s="251"/>
      <c r="O5" s="250">
        <f>1*1</f>
        <v>1</v>
      </c>
      <c r="P5" s="251"/>
      <c r="Q5" s="250">
        <f>1*1*3.85</f>
        <v>3.85</v>
      </c>
      <c r="R5" s="250">
        <f>Q5</f>
        <v>3.85</v>
      </c>
      <c r="S5" s="250">
        <v>3.96</v>
      </c>
      <c r="T5" s="264"/>
    </row>
    <row r="6" spans="1:20" ht="18.75" customHeight="1">
      <c r="A6" s="248" t="s">
        <v>443</v>
      </c>
      <c r="B6" s="249">
        <v>40</v>
      </c>
      <c r="C6" s="250">
        <f>2.45+0.38</f>
        <v>2.83</v>
      </c>
      <c r="D6" s="250">
        <f>(C5+C6)/2*B6</f>
        <v>104</v>
      </c>
      <c r="E6" s="250">
        <f>0.5*0.22</f>
        <v>0.11</v>
      </c>
      <c r="F6" s="250">
        <f>(E5+E6)/2*B6</f>
        <v>8.36</v>
      </c>
      <c r="G6" s="250">
        <f>0.34+0.11+0.04</f>
        <v>0.49</v>
      </c>
      <c r="H6" s="250">
        <f>(G5+G6)/2*B6</f>
        <v>19</v>
      </c>
      <c r="I6" s="250">
        <v>0.02</v>
      </c>
      <c r="J6" s="250">
        <f>(I5+I6)/2*B6</f>
        <v>2.4000000000000004</v>
      </c>
      <c r="K6" s="250">
        <f>K5</f>
        <v>0.8855</v>
      </c>
      <c r="L6" s="250">
        <f>(K5+K6)/2*B6</f>
        <v>35.42</v>
      </c>
      <c r="M6" s="250">
        <f>0.37*1.5</f>
        <v>0.5549999999999999</v>
      </c>
      <c r="N6" s="250">
        <f>(M5+M6)/2*B6</f>
        <v>22.199999999999996</v>
      </c>
      <c r="O6" s="250">
        <f>1*1</f>
        <v>1</v>
      </c>
      <c r="P6" s="250">
        <f>(O5+O6)/2*B6</f>
        <v>40</v>
      </c>
      <c r="Q6" s="250"/>
      <c r="R6" s="250"/>
      <c r="S6" s="250">
        <v>3.96</v>
      </c>
      <c r="T6" s="265">
        <f>(S5+S6)/2*B6</f>
        <v>158.4</v>
      </c>
    </row>
    <row r="7" spans="1:20" ht="18.75" customHeight="1">
      <c r="A7" s="248" t="s">
        <v>444</v>
      </c>
      <c r="B7" s="249">
        <v>75</v>
      </c>
      <c r="C7" s="250">
        <v>3.46</v>
      </c>
      <c r="D7" s="250">
        <f>(C6+C7)/2*B7</f>
        <v>235.875</v>
      </c>
      <c r="E7" s="250">
        <v>0</v>
      </c>
      <c r="F7" s="250">
        <f>(E6+E7)/2*B7</f>
        <v>4.125</v>
      </c>
      <c r="G7" s="250">
        <f>0.28+0.11+0.06</f>
        <v>0.45</v>
      </c>
      <c r="H7" s="250">
        <f>(G6+G7)/2*B7</f>
        <v>35.25</v>
      </c>
      <c r="I7" s="250">
        <v>0</v>
      </c>
      <c r="J7" s="250">
        <f>(I6+I7)/2*B7</f>
        <v>0.75</v>
      </c>
      <c r="K7" s="250">
        <f>1*1.15</f>
        <v>1.15</v>
      </c>
      <c r="L7" s="250">
        <f>(K6+K7)/2*B7</f>
        <v>76.33125</v>
      </c>
      <c r="M7" s="250">
        <f>0.5*1.5</f>
        <v>0.75</v>
      </c>
      <c r="N7" s="250">
        <f>(M6+M7)/2*B7</f>
        <v>48.9375</v>
      </c>
      <c r="O7" s="250">
        <f>1*1</f>
        <v>1</v>
      </c>
      <c r="P7" s="250">
        <f>(O6+O7)/2*B7</f>
        <v>75</v>
      </c>
      <c r="Q7" s="250"/>
      <c r="R7" s="250"/>
      <c r="S7" s="250">
        <v>4.97</v>
      </c>
      <c r="T7" s="265">
        <f>(S6+S7)/2*B7</f>
        <v>334.875</v>
      </c>
    </row>
    <row r="8" spans="1:20" ht="18.75" customHeight="1">
      <c r="A8" s="252" t="s">
        <v>445</v>
      </c>
      <c r="B8" s="253">
        <v>25</v>
      </c>
      <c r="C8" s="250">
        <v>2.94</v>
      </c>
      <c r="D8" s="250">
        <f>(C7+C8)/2*B8</f>
        <v>80</v>
      </c>
      <c r="E8" s="250">
        <v>0</v>
      </c>
      <c r="F8" s="250">
        <f>(E7+E8)/2*B8</f>
        <v>0</v>
      </c>
      <c r="G8" s="250">
        <f>0.27+0.11+0.04</f>
        <v>0.42</v>
      </c>
      <c r="H8" s="250">
        <f>(G7+G8)/2*B8</f>
        <v>10.875</v>
      </c>
      <c r="I8" s="250">
        <v>0</v>
      </c>
      <c r="J8" s="250">
        <f>(I7+I8)/2*B8</f>
        <v>0</v>
      </c>
      <c r="K8" s="250">
        <f>1*1.15</f>
        <v>1.15</v>
      </c>
      <c r="L8" s="250">
        <f>(K7+K8)/2*B8</f>
        <v>28.749999999999996</v>
      </c>
      <c r="M8" s="250">
        <f>0.5*1.5</f>
        <v>0.75</v>
      </c>
      <c r="N8" s="250">
        <f>(M7+M8)/2*B8</f>
        <v>18.75</v>
      </c>
      <c r="O8" s="250">
        <f>1*1</f>
        <v>1</v>
      </c>
      <c r="P8" s="250">
        <f>(O7+O8)/2*B8</f>
        <v>25</v>
      </c>
      <c r="Q8" s="250">
        <f>1*1*3.85</f>
        <v>3.85</v>
      </c>
      <c r="R8" s="250">
        <f>Q8</f>
        <v>3.85</v>
      </c>
      <c r="S8" s="250">
        <v>4.97</v>
      </c>
      <c r="T8" s="265">
        <f>(S7+S8)/2*B8</f>
        <v>124.25</v>
      </c>
    </row>
    <row r="9" spans="1:20" ht="18.75" customHeight="1">
      <c r="A9" s="254" t="s">
        <v>276</v>
      </c>
      <c r="B9" s="255">
        <f>SUM(B5:B8)</f>
        <v>140</v>
      </c>
      <c r="C9" s="256"/>
      <c r="D9" s="256">
        <f>SUM(D5:D8)</f>
        <v>419.875</v>
      </c>
      <c r="E9" s="256"/>
      <c r="F9" s="256">
        <f>SUM(F5:F8)</f>
        <v>12.485</v>
      </c>
      <c r="G9" s="256"/>
      <c r="H9" s="256">
        <f>SUM(H5:H8)</f>
        <v>65.125</v>
      </c>
      <c r="I9" s="256"/>
      <c r="J9" s="256">
        <f aca="true" t="shared" si="0" ref="J9:R9">SUM(J5:J8)</f>
        <v>3.1500000000000004</v>
      </c>
      <c r="K9" s="256"/>
      <c r="L9" s="256">
        <f t="shared" si="0"/>
        <v>140.50125</v>
      </c>
      <c r="M9" s="256"/>
      <c r="N9" s="256">
        <f t="shared" si="0"/>
        <v>89.88749999999999</v>
      </c>
      <c r="O9" s="256"/>
      <c r="P9" s="256">
        <f t="shared" si="0"/>
        <v>140</v>
      </c>
      <c r="Q9" s="256"/>
      <c r="R9" s="256">
        <f t="shared" si="0"/>
        <v>7.7</v>
      </c>
      <c r="S9" s="260"/>
      <c r="T9" s="266">
        <f>SUM(T5:T8)</f>
        <v>617.525</v>
      </c>
    </row>
    <row r="11" spans="1:20" ht="25.5">
      <c r="A11" s="481" t="s">
        <v>446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</row>
    <row r="12" spans="1:20" ht="13.5">
      <c r="A12" s="476" t="s">
        <v>426</v>
      </c>
      <c r="B12" s="478" t="s">
        <v>427</v>
      </c>
      <c r="C12" s="478" t="s">
        <v>428</v>
      </c>
      <c r="D12" s="478"/>
      <c r="E12" s="478"/>
      <c r="F12" s="478"/>
      <c r="G12" s="478"/>
      <c r="H12" s="478"/>
      <c r="I12" s="478"/>
      <c r="J12" s="478"/>
      <c r="K12" s="478" t="s">
        <v>429</v>
      </c>
      <c r="L12" s="478"/>
      <c r="M12" s="478"/>
      <c r="N12" s="478"/>
      <c r="O12" s="478"/>
      <c r="P12" s="478"/>
      <c r="Q12" s="247"/>
      <c r="R12" s="247"/>
      <c r="S12" s="478" t="s">
        <v>430</v>
      </c>
      <c r="T12" s="482"/>
    </row>
    <row r="13" spans="1:20" ht="13.5">
      <c r="A13" s="477"/>
      <c r="B13" s="474"/>
      <c r="C13" s="474" t="s">
        <v>431</v>
      </c>
      <c r="D13" s="474"/>
      <c r="E13" s="479" t="s">
        <v>432</v>
      </c>
      <c r="F13" s="480"/>
      <c r="G13" s="474" t="s">
        <v>433</v>
      </c>
      <c r="H13" s="474"/>
      <c r="I13" s="474" t="s">
        <v>434</v>
      </c>
      <c r="J13" s="474"/>
      <c r="K13" s="479" t="s">
        <v>246</v>
      </c>
      <c r="L13" s="480"/>
      <c r="M13" s="474" t="s">
        <v>169</v>
      </c>
      <c r="N13" s="474"/>
      <c r="O13" s="474" t="s">
        <v>435</v>
      </c>
      <c r="P13" s="474"/>
      <c r="Q13" s="474" t="s">
        <v>436</v>
      </c>
      <c r="R13" s="474"/>
      <c r="S13" s="474" t="s">
        <v>89</v>
      </c>
      <c r="T13" s="475"/>
    </row>
    <row r="14" spans="1:20" ht="26.25">
      <c r="A14" s="477"/>
      <c r="B14" s="474"/>
      <c r="C14" s="249" t="s">
        <v>437</v>
      </c>
      <c r="D14" s="249" t="s">
        <v>428</v>
      </c>
      <c r="E14" s="249" t="s">
        <v>437</v>
      </c>
      <c r="F14" s="249" t="s">
        <v>428</v>
      </c>
      <c r="G14" s="249" t="s">
        <v>437</v>
      </c>
      <c r="H14" s="249" t="s">
        <v>428</v>
      </c>
      <c r="I14" s="249" t="s">
        <v>437</v>
      </c>
      <c r="J14" s="249" t="s">
        <v>428</v>
      </c>
      <c r="K14" s="249" t="s">
        <v>437</v>
      </c>
      <c r="L14" s="249" t="s">
        <v>438</v>
      </c>
      <c r="M14" s="249" t="s">
        <v>437</v>
      </c>
      <c r="N14" s="249" t="s">
        <v>438</v>
      </c>
      <c r="O14" s="249" t="s">
        <v>437</v>
      </c>
      <c r="P14" s="249" t="s">
        <v>438</v>
      </c>
      <c r="Q14" s="249" t="s">
        <v>438</v>
      </c>
      <c r="R14" s="249" t="s">
        <v>439</v>
      </c>
      <c r="S14" s="249" t="s">
        <v>440</v>
      </c>
      <c r="T14" s="263" t="s">
        <v>441</v>
      </c>
    </row>
    <row r="15" spans="1:20" ht="18.75" customHeight="1">
      <c r="A15" s="248" t="s">
        <v>447</v>
      </c>
      <c r="B15" s="249">
        <v>0</v>
      </c>
      <c r="C15" s="250">
        <f>0.04+2.3</f>
        <v>2.34</v>
      </c>
      <c r="D15" s="250"/>
      <c r="E15" s="250">
        <f>3.05*0.22</f>
        <v>0.6709999999999999</v>
      </c>
      <c r="F15" s="250"/>
      <c r="G15" s="250">
        <f>0.04+0.11+0.27</f>
        <v>0.42000000000000004</v>
      </c>
      <c r="H15" s="250"/>
      <c r="I15" s="250">
        <v>0.9</v>
      </c>
      <c r="J15" s="250"/>
      <c r="K15" s="258">
        <f>0.995*1.15</f>
        <v>1.14425</v>
      </c>
      <c r="L15" s="251"/>
      <c r="M15" s="258">
        <f>0.498*1.5</f>
        <v>0.747</v>
      </c>
      <c r="N15" s="251"/>
      <c r="O15" s="250">
        <f>1*1</f>
        <v>1</v>
      </c>
      <c r="P15" s="251"/>
      <c r="Q15" s="250">
        <f>1*1*5.33</f>
        <v>5.33</v>
      </c>
      <c r="R15" s="250">
        <f>Q15</f>
        <v>5.33</v>
      </c>
      <c r="S15" s="250">
        <v>4.97</v>
      </c>
      <c r="T15" s="264"/>
    </row>
    <row r="16" spans="1:20" ht="18.75" customHeight="1">
      <c r="A16" s="252" t="s">
        <v>448</v>
      </c>
      <c r="B16" s="253">
        <v>50</v>
      </c>
      <c r="C16" s="250">
        <f>0.36+1.92</f>
        <v>2.28</v>
      </c>
      <c r="D16" s="250">
        <f>(C15+C16)/2*B16</f>
        <v>115.49999999999999</v>
      </c>
      <c r="E16" s="250">
        <f>2.94*0.22</f>
        <v>0.6468</v>
      </c>
      <c r="F16" s="250">
        <f>(E15+E16)/2*B16</f>
        <v>32.945</v>
      </c>
      <c r="G16" s="250">
        <f>0.04+0.11+0.28</f>
        <v>0.43000000000000005</v>
      </c>
      <c r="H16" s="250">
        <f>(G15+G16)/2*B16</f>
        <v>21.250000000000004</v>
      </c>
      <c r="I16" s="250">
        <v>0.85</v>
      </c>
      <c r="J16" s="250">
        <f>(I15+I16)/2*B16</f>
        <v>43.75</v>
      </c>
      <c r="K16" s="258">
        <f>0.995*1.15</f>
        <v>1.14425</v>
      </c>
      <c r="L16" s="250">
        <f>(K15+K16)/2*B16</f>
        <v>57.2125</v>
      </c>
      <c r="M16" s="258">
        <f>0.498*1.5</f>
        <v>0.747</v>
      </c>
      <c r="N16" s="250">
        <f>(M15+M16)/2*B16</f>
        <v>37.35</v>
      </c>
      <c r="O16" s="250">
        <f>1*1</f>
        <v>1</v>
      </c>
      <c r="P16" s="250">
        <f>(O15+O16)/2*B16</f>
        <v>50</v>
      </c>
      <c r="Q16" s="250">
        <f>1*1*5.33</f>
        <v>5.33</v>
      </c>
      <c r="R16" s="250">
        <f>Q16</f>
        <v>5.33</v>
      </c>
      <c r="S16" s="250">
        <v>4.97</v>
      </c>
      <c r="T16" s="265">
        <f>(S15+S16)/2*B16</f>
        <v>248.5</v>
      </c>
    </row>
    <row r="17" spans="1:20" ht="18.75" customHeight="1">
      <c r="A17" s="254" t="s">
        <v>276</v>
      </c>
      <c r="B17" s="255">
        <f>SUM(B15:B16)</f>
        <v>50</v>
      </c>
      <c r="C17" s="259"/>
      <c r="D17" s="259">
        <f>SUM(D15:D16)</f>
        <v>115.49999999999999</v>
      </c>
      <c r="E17" s="259"/>
      <c r="F17" s="259">
        <f>SUM(F15:F16)</f>
        <v>32.945</v>
      </c>
      <c r="G17" s="259"/>
      <c r="H17" s="259">
        <f>SUM(H15:H16)</f>
        <v>21.250000000000004</v>
      </c>
      <c r="I17" s="259"/>
      <c r="J17" s="259">
        <f>SUM(J15:J16)</f>
        <v>43.75</v>
      </c>
      <c r="K17" s="259"/>
      <c r="L17" s="259">
        <f>SUM(L15:L16)</f>
        <v>57.2125</v>
      </c>
      <c r="M17" s="259"/>
      <c r="N17" s="259">
        <f>SUM(N15:N16)</f>
        <v>37.35</v>
      </c>
      <c r="O17" s="259"/>
      <c r="P17" s="259">
        <f>SUM(P15:P16)</f>
        <v>50</v>
      </c>
      <c r="Q17" s="259"/>
      <c r="R17" s="259">
        <f>SUM(R15:R16)</f>
        <v>10.66</v>
      </c>
      <c r="S17" s="267"/>
      <c r="T17" s="268">
        <f>SUM(T15:T16)</f>
        <v>248.5</v>
      </c>
    </row>
    <row r="19" spans="1:20" ht="25.5">
      <c r="A19" s="481" t="s">
        <v>449</v>
      </c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</row>
    <row r="20" spans="1:20" ht="18.75" customHeight="1">
      <c r="A20" s="476" t="s">
        <v>426</v>
      </c>
      <c r="B20" s="478" t="s">
        <v>427</v>
      </c>
      <c r="C20" s="478" t="s">
        <v>428</v>
      </c>
      <c r="D20" s="478"/>
      <c r="E20" s="478"/>
      <c r="F20" s="478"/>
      <c r="G20" s="478"/>
      <c r="H20" s="478"/>
      <c r="I20" s="478"/>
      <c r="J20" s="478"/>
      <c r="K20" s="478" t="s">
        <v>429</v>
      </c>
      <c r="L20" s="478"/>
      <c r="M20" s="478"/>
      <c r="N20" s="478"/>
      <c r="O20" s="478"/>
      <c r="P20" s="478"/>
      <c r="Q20" s="247"/>
      <c r="R20" s="247"/>
      <c r="S20" s="478" t="s">
        <v>430</v>
      </c>
      <c r="T20" s="482"/>
    </row>
    <row r="21" spans="1:20" ht="18.75" customHeight="1">
      <c r="A21" s="477"/>
      <c r="B21" s="474"/>
      <c r="C21" s="474" t="s">
        <v>431</v>
      </c>
      <c r="D21" s="474"/>
      <c r="E21" s="479" t="s">
        <v>432</v>
      </c>
      <c r="F21" s="480"/>
      <c r="G21" s="474" t="s">
        <v>433</v>
      </c>
      <c r="H21" s="474"/>
      <c r="I21" s="474" t="s">
        <v>434</v>
      </c>
      <c r="J21" s="474"/>
      <c r="K21" s="479" t="s">
        <v>246</v>
      </c>
      <c r="L21" s="480"/>
      <c r="M21" s="474" t="s">
        <v>169</v>
      </c>
      <c r="N21" s="474"/>
      <c r="O21" s="474" t="s">
        <v>435</v>
      </c>
      <c r="P21" s="474"/>
      <c r="Q21" s="474" t="s">
        <v>436</v>
      </c>
      <c r="R21" s="474"/>
      <c r="S21" s="474" t="s">
        <v>89</v>
      </c>
      <c r="T21" s="475"/>
    </row>
    <row r="22" spans="1:20" ht="27.75" customHeight="1">
      <c r="A22" s="477"/>
      <c r="B22" s="474"/>
      <c r="C22" s="249" t="s">
        <v>437</v>
      </c>
      <c r="D22" s="249" t="s">
        <v>428</v>
      </c>
      <c r="E22" s="249" t="s">
        <v>437</v>
      </c>
      <c r="F22" s="249" t="s">
        <v>428</v>
      </c>
      <c r="G22" s="249" t="s">
        <v>437</v>
      </c>
      <c r="H22" s="249" t="s">
        <v>428</v>
      </c>
      <c r="I22" s="249" t="s">
        <v>437</v>
      </c>
      <c r="J22" s="249" t="s">
        <v>428</v>
      </c>
      <c r="K22" s="249" t="s">
        <v>437</v>
      </c>
      <c r="L22" s="249" t="s">
        <v>438</v>
      </c>
      <c r="M22" s="249" t="s">
        <v>437</v>
      </c>
      <c r="N22" s="249" t="s">
        <v>438</v>
      </c>
      <c r="O22" s="249" t="s">
        <v>437</v>
      </c>
      <c r="P22" s="249" t="s">
        <v>438</v>
      </c>
      <c r="Q22" s="249" t="s">
        <v>438</v>
      </c>
      <c r="R22" s="249" t="s">
        <v>439</v>
      </c>
      <c r="S22" s="249" t="s">
        <v>440</v>
      </c>
      <c r="T22" s="263" t="s">
        <v>441</v>
      </c>
    </row>
    <row r="23" spans="1:20" ht="18.75" customHeight="1">
      <c r="A23" s="248" t="s">
        <v>450</v>
      </c>
      <c r="B23" s="249">
        <v>0</v>
      </c>
      <c r="C23" s="250">
        <f>1.59+1.16</f>
        <v>2.75</v>
      </c>
      <c r="D23" s="250"/>
      <c r="E23" s="250">
        <f>2.16*0.22</f>
        <v>0.4752</v>
      </c>
      <c r="F23" s="250"/>
      <c r="G23" s="250">
        <f>0.26+0.11+0.03</f>
        <v>0.4</v>
      </c>
      <c r="H23" s="250"/>
      <c r="I23" s="250">
        <v>0.18</v>
      </c>
      <c r="J23" s="250"/>
      <c r="K23" s="250">
        <f>1.07*1.15</f>
        <v>1.2305</v>
      </c>
      <c r="L23" s="251"/>
      <c r="M23" s="250">
        <f>0.53*1.5</f>
        <v>0.795</v>
      </c>
      <c r="N23" s="251"/>
      <c r="O23" s="250">
        <f>1*1</f>
        <v>1</v>
      </c>
      <c r="P23" s="251"/>
      <c r="Q23" s="250">
        <f>1*1*5.33</f>
        <v>5.33</v>
      </c>
      <c r="R23" s="250">
        <f>Q23</f>
        <v>5.33</v>
      </c>
      <c r="S23" s="250">
        <v>5.44</v>
      </c>
      <c r="T23" s="264"/>
    </row>
    <row r="24" spans="1:20" ht="18.75" customHeight="1">
      <c r="A24" s="248" t="s">
        <v>451</v>
      </c>
      <c r="B24" s="249">
        <f>633-419</f>
        <v>214</v>
      </c>
      <c r="C24" s="250">
        <f>1.44+1.94</f>
        <v>3.38</v>
      </c>
      <c r="D24" s="250">
        <f>(C23+C24)/2*B24</f>
        <v>655.91</v>
      </c>
      <c r="E24" s="250">
        <f>2.57*0.22</f>
        <v>0.5654</v>
      </c>
      <c r="F24" s="250">
        <f>(E23+E24)/2*B24</f>
        <v>111.3442</v>
      </c>
      <c r="G24" s="250">
        <f>0.21+0.11+0.06</f>
        <v>0.38</v>
      </c>
      <c r="H24" s="250">
        <f>(G23+G24)/2*B24</f>
        <v>83.46000000000001</v>
      </c>
      <c r="I24" s="250">
        <v>0.43</v>
      </c>
      <c r="J24" s="250">
        <f>(I23+I24)/2*B24</f>
        <v>65.27</v>
      </c>
      <c r="K24" s="250">
        <f>1.21*1.15</f>
        <v>1.3915</v>
      </c>
      <c r="L24" s="250">
        <f>(K23+K24)/2*B24</f>
        <v>280.554</v>
      </c>
      <c r="M24" s="250">
        <f>0.61*1.5</f>
        <v>0.915</v>
      </c>
      <c r="N24" s="250">
        <f>(M23+M24)/2*B24</f>
        <v>182.97</v>
      </c>
      <c r="O24" s="250">
        <f>1*1</f>
        <v>1</v>
      </c>
      <c r="P24" s="250">
        <f>(O23+O24)/2*B24</f>
        <v>214</v>
      </c>
      <c r="Q24" s="250"/>
      <c r="R24" s="250"/>
      <c r="S24" s="250">
        <v>6.07</v>
      </c>
      <c r="T24" s="265">
        <f>(S23+S24)/2*B24</f>
        <v>1231.5700000000002</v>
      </c>
    </row>
    <row r="25" spans="1:20" ht="18.75" customHeight="1">
      <c r="A25" s="252" t="s">
        <v>452</v>
      </c>
      <c r="B25" s="253">
        <v>32</v>
      </c>
      <c r="C25" s="250">
        <f>1.53+1.59</f>
        <v>3.12</v>
      </c>
      <c r="D25" s="250">
        <f>(C24+C25)/2*B25</f>
        <v>104</v>
      </c>
      <c r="E25" s="250">
        <f>2.74*0.22</f>
        <v>0.6028</v>
      </c>
      <c r="F25" s="250">
        <f>(E24+E25)/2*B25</f>
        <v>18.691200000000002</v>
      </c>
      <c r="G25" s="250">
        <f>0.25+0.11+0.03</f>
        <v>0.39</v>
      </c>
      <c r="H25" s="250">
        <f>(G24+G25)/2*B25</f>
        <v>12.32</v>
      </c>
      <c r="I25" s="250">
        <v>0.52</v>
      </c>
      <c r="J25" s="250">
        <f>(I24+I25)/2*B25</f>
        <v>15.2</v>
      </c>
      <c r="K25" s="250">
        <f>1.21*1.15</f>
        <v>1.3915</v>
      </c>
      <c r="L25" s="250">
        <f>(K24+K25)/2*B25</f>
        <v>44.528</v>
      </c>
      <c r="M25" s="250">
        <f>0.61*1.5</f>
        <v>0.915</v>
      </c>
      <c r="N25" s="250">
        <f>(M24+M25)/2*B25</f>
        <v>29.28</v>
      </c>
      <c r="O25" s="250">
        <f>1*1</f>
        <v>1</v>
      </c>
      <c r="P25" s="250">
        <f>(O24+O25)/2*B25</f>
        <v>32</v>
      </c>
      <c r="Q25" s="250">
        <f>1*1*6.23</f>
        <v>6.23</v>
      </c>
      <c r="R25" s="250">
        <f>Q25</f>
        <v>6.23</v>
      </c>
      <c r="S25" s="250">
        <v>6.07</v>
      </c>
      <c r="T25" s="265">
        <f>(S24+S25)/2*B25</f>
        <v>194.24</v>
      </c>
    </row>
    <row r="26" spans="1:20" ht="18.75" customHeight="1">
      <c r="A26" s="254" t="s">
        <v>276</v>
      </c>
      <c r="B26" s="255">
        <f>SUM(B23:B25)</f>
        <v>246</v>
      </c>
      <c r="C26" s="255"/>
      <c r="D26" s="255">
        <f>SUM(D23:D25)</f>
        <v>759.91</v>
      </c>
      <c r="E26" s="255"/>
      <c r="F26" s="255">
        <f>SUM(F23:F25)</f>
        <v>130.0354</v>
      </c>
      <c r="G26" s="255"/>
      <c r="H26" s="255">
        <f>SUM(H23:H25)</f>
        <v>95.78</v>
      </c>
      <c r="I26" s="255"/>
      <c r="J26" s="255">
        <f>SUM(J23:J25)</f>
        <v>80.47</v>
      </c>
      <c r="K26" s="255"/>
      <c r="L26" s="255">
        <f>SUM(L23:L25)</f>
        <v>325.082</v>
      </c>
      <c r="M26" s="255"/>
      <c r="N26" s="255">
        <f>SUM(N23:N25)</f>
        <v>212.25</v>
      </c>
      <c r="O26" s="255"/>
      <c r="P26" s="255">
        <f>SUM(P23:P25)</f>
        <v>246</v>
      </c>
      <c r="Q26" s="255"/>
      <c r="R26" s="255">
        <f>SUM(R23:R25)</f>
        <v>11.56</v>
      </c>
      <c r="S26" s="260"/>
      <c r="T26" s="266">
        <f>SUM(T23:T25)</f>
        <v>1425.8100000000002</v>
      </c>
    </row>
    <row r="28" spans="1:20" ht="25.5">
      <c r="A28" s="481" t="s">
        <v>453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</row>
    <row r="29" spans="1:20" ht="18.75" customHeight="1">
      <c r="A29" s="476" t="s">
        <v>426</v>
      </c>
      <c r="B29" s="478" t="s">
        <v>427</v>
      </c>
      <c r="C29" s="478" t="s">
        <v>428</v>
      </c>
      <c r="D29" s="478"/>
      <c r="E29" s="478"/>
      <c r="F29" s="478"/>
      <c r="G29" s="478"/>
      <c r="H29" s="478"/>
      <c r="I29" s="478"/>
      <c r="J29" s="478"/>
      <c r="K29" s="478" t="s">
        <v>429</v>
      </c>
      <c r="L29" s="478"/>
      <c r="M29" s="478"/>
      <c r="N29" s="478"/>
      <c r="O29" s="478"/>
      <c r="P29" s="478"/>
      <c r="Q29" s="247"/>
      <c r="R29" s="247"/>
      <c r="S29" s="478" t="s">
        <v>430</v>
      </c>
      <c r="T29" s="482"/>
    </row>
    <row r="30" spans="1:20" ht="18.75" customHeight="1">
      <c r="A30" s="477"/>
      <c r="B30" s="474"/>
      <c r="C30" s="474" t="s">
        <v>431</v>
      </c>
      <c r="D30" s="474"/>
      <c r="E30" s="479" t="s">
        <v>432</v>
      </c>
      <c r="F30" s="480"/>
      <c r="G30" s="474" t="s">
        <v>433</v>
      </c>
      <c r="H30" s="474"/>
      <c r="I30" s="474" t="s">
        <v>434</v>
      </c>
      <c r="J30" s="474"/>
      <c r="K30" s="479" t="s">
        <v>246</v>
      </c>
      <c r="L30" s="480"/>
      <c r="M30" s="474" t="s">
        <v>169</v>
      </c>
      <c r="N30" s="474"/>
      <c r="O30" s="474" t="s">
        <v>435</v>
      </c>
      <c r="P30" s="474"/>
      <c r="Q30" s="479" t="s">
        <v>454</v>
      </c>
      <c r="R30" s="480"/>
      <c r="S30" s="474" t="s">
        <v>89</v>
      </c>
      <c r="T30" s="475"/>
    </row>
    <row r="31" spans="1:20" ht="26.25" customHeight="1">
      <c r="A31" s="477"/>
      <c r="B31" s="474"/>
      <c r="C31" s="249" t="s">
        <v>437</v>
      </c>
      <c r="D31" s="249" t="s">
        <v>428</v>
      </c>
      <c r="E31" s="249" t="s">
        <v>437</v>
      </c>
      <c r="F31" s="249" t="s">
        <v>428</v>
      </c>
      <c r="G31" s="249" t="s">
        <v>437</v>
      </c>
      <c r="H31" s="249" t="s">
        <v>428</v>
      </c>
      <c r="I31" s="249" t="s">
        <v>437</v>
      </c>
      <c r="J31" s="249" t="s">
        <v>428</v>
      </c>
      <c r="K31" s="249" t="s">
        <v>437</v>
      </c>
      <c r="L31" s="249" t="s">
        <v>438</v>
      </c>
      <c r="M31" s="249" t="s">
        <v>437</v>
      </c>
      <c r="N31" s="249" t="s">
        <v>438</v>
      </c>
      <c r="O31" s="249" t="s">
        <v>437</v>
      </c>
      <c r="P31" s="249" t="s">
        <v>438</v>
      </c>
      <c r="Q31" s="249" t="s">
        <v>438</v>
      </c>
      <c r="R31" s="249" t="s">
        <v>439</v>
      </c>
      <c r="S31" s="249" t="s">
        <v>440</v>
      </c>
      <c r="T31" s="263" t="s">
        <v>441</v>
      </c>
    </row>
    <row r="32" spans="1:20" ht="18.75" customHeight="1">
      <c r="A32" s="248" t="s">
        <v>455</v>
      </c>
      <c r="B32" s="249">
        <v>0</v>
      </c>
      <c r="C32" s="250">
        <v>3.3</v>
      </c>
      <c r="D32" s="250"/>
      <c r="E32" s="250"/>
      <c r="F32" s="250"/>
      <c r="G32" s="250">
        <f>0.1+0.11+0.35</f>
        <v>0.56</v>
      </c>
      <c r="H32" s="250"/>
      <c r="I32" s="250"/>
      <c r="J32" s="250"/>
      <c r="K32" s="250">
        <f>1.29*1.15</f>
        <v>1.4834999999999998</v>
      </c>
      <c r="L32" s="251"/>
      <c r="M32" s="258">
        <f>0.643*1.5</f>
        <v>0.9645</v>
      </c>
      <c r="N32" s="251"/>
      <c r="O32" s="250">
        <f>1*1</f>
        <v>1</v>
      </c>
      <c r="P32" s="251"/>
      <c r="Q32" s="250">
        <f>1*1*6.43</f>
        <v>6.43</v>
      </c>
      <c r="R32" s="250">
        <f>Q32</f>
        <v>6.43</v>
      </c>
      <c r="S32" s="250">
        <v>6.54</v>
      </c>
      <c r="T32" s="264"/>
    </row>
    <row r="33" spans="1:20" ht="18.75" customHeight="1">
      <c r="A33" s="248" t="s">
        <v>456</v>
      </c>
      <c r="B33" s="249">
        <v>52</v>
      </c>
      <c r="C33" s="250">
        <v>2.94</v>
      </c>
      <c r="D33" s="250">
        <f>(C32+C33)/2*B33</f>
        <v>162.24</v>
      </c>
      <c r="E33" s="250"/>
      <c r="F33" s="250"/>
      <c r="G33" s="250">
        <f>0.01+0.11+0.27</f>
        <v>0.39</v>
      </c>
      <c r="H33" s="250">
        <f>(G32+G33)/2*B33</f>
        <v>24.700000000000003</v>
      </c>
      <c r="I33" s="250"/>
      <c r="J33" s="250"/>
      <c r="K33" s="250">
        <f>1.29*1.15</f>
        <v>1.4834999999999998</v>
      </c>
      <c r="L33" s="250">
        <f>(K32+K33)/2*B33</f>
        <v>77.142</v>
      </c>
      <c r="M33" s="258">
        <f>0.643*1.5</f>
        <v>0.9645</v>
      </c>
      <c r="N33" s="250">
        <f>(M32+M33)/2*B33</f>
        <v>50.154</v>
      </c>
      <c r="O33" s="250">
        <f>1*1</f>
        <v>1</v>
      </c>
      <c r="P33" s="250">
        <f>(O32+O33)/2*B33</f>
        <v>52</v>
      </c>
      <c r="Q33" s="250"/>
      <c r="R33" s="250"/>
      <c r="S33" s="250">
        <v>6.54</v>
      </c>
      <c r="T33" s="265">
        <f>(S32+S33)/2*B33</f>
        <v>340.08</v>
      </c>
    </row>
    <row r="34" spans="1:20" ht="18.75" customHeight="1">
      <c r="A34" s="248" t="s">
        <v>457</v>
      </c>
      <c r="B34" s="249">
        <v>41</v>
      </c>
      <c r="C34" s="250">
        <v>3.77</v>
      </c>
      <c r="D34" s="250">
        <f>(C33+C34)/2*B34</f>
        <v>137.555</v>
      </c>
      <c r="E34" s="250"/>
      <c r="F34" s="250"/>
      <c r="G34" s="250">
        <f>0.06+0.11+0.25</f>
        <v>0.42</v>
      </c>
      <c r="H34" s="250">
        <f>(G33+G34)/2*B34</f>
        <v>16.605</v>
      </c>
      <c r="I34" s="250"/>
      <c r="J34" s="250"/>
      <c r="K34" s="250">
        <f>1.29*1.15</f>
        <v>1.4834999999999998</v>
      </c>
      <c r="L34" s="250">
        <f>(K33+K34)/2*B34</f>
        <v>60.823499999999996</v>
      </c>
      <c r="M34" s="258">
        <f>0.643*1.5</f>
        <v>0.9645</v>
      </c>
      <c r="N34" s="250">
        <f>(M33+M34)/2*B34</f>
        <v>39.5445</v>
      </c>
      <c r="O34" s="250">
        <f>1*1</f>
        <v>1</v>
      </c>
      <c r="P34" s="250">
        <f>(O33+O34)/2*B34</f>
        <v>41</v>
      </c>
      <c r="Q34" s="250">
        <f>1*1*6.43</f>
        <v>6.43</v>
      </c>
      <c r="R34" s="250">
        <f>Q34</f>
        <v>6.43</v>
      </c>
      <c r="S34" s="250">
        <v>6.54</v>
      </c>
      <c r="T34" s="265">
        <f>(S33+S34)/2*B34</f>
        <v>268.14</v>
      </c>
    </row>
    <row r="35" spans="1:20" ht="18.75" customHeight="1">
      <c r="A35" s="254" t="s">
        <v>276</v>
      </c>
      <c r="B35" s="255">
        <f>SUM(B32:B34)</f>
        <v>93</v>
      </c>
      <c r="C35" s="256"/>
      <c r="D35" s="256">
        <f>SUM(D32:D34)</f>
        <v>299.795</v>
      </c>
      <c r="E35" s="256"/>
      <c r="F35" s="256">
        <f>SUM(F32:F34)</f>
        <v>0</v>
      </c>
      <c r="G35" s="256"/>
      <c r="H35" s="256">
        <f>SUM(H32:H34)</f>
        <v>41.30500000000001</v>
      </c>
      <c r="I35" s="256"/>
      <c r="J35" s="256">
        <f>SUM(J32:J34)</f>
        <v>0</v>
      </c>
      <c r="K35" s="260"/>
      <c r="L35" s="256">
        <f>SUM(L32:L34)</f>
        <v>137.9655</v>
      </c>
      <c r="M35" s="260"/>
      <c r="N35" s="256">
        <f>SUM(N32:N34)</f>
        <v>89.6985</v>
      </c>
      <c r="O35" s="260"/>
      <c r="P35" s="256">
        <f>SUM(P32:P34)</f>
        <v>93</v>
      </c>
      <c r="Q35" s="256"/>
      <c r="R35" s="256">
        <f>SUM(R32:R34)</f>
        <v>12.86</v>
      </c>
      <c r="S35" s="260"/>
      <c r="T35" s="266">
        <f>SUM(T32:T34)</f>
        <v>608.22</v>
      </c>
    </row>
    <row r="37" spans="2:20" ht="13.5">
      <c r="B37" s="246">
        <f>B9++B26</f>
        <v>386</v>
      </c>
      <c r="C37" s="246">
        <f aca="true" t="shared" si="1" ref="C37:T37">C9++C26</f>
        <v>0</v>
      </c>
      <c r="D37" s="246">
        <f t="shared" si="1"/>
        <v>1179.7849999999999</v>
      </c>
      <c r="E37" s="246">
        <f t="shared" si="1"/>
        <v>0</v>
      </c>
      <c r="F37" s="246">
        <f t="shared" si="1"/>
        <v>142.5204</v>
      </c>
      <c r="G37" s="246">
        <f t="shared" si="1"/>
        <v>0</v>
      </c>
      <c r="H37" s="246">
        <f t="shared" si="1"/>
        <v>160.905</v>
      </c>
      <c r="I37" s="246">
        <f t="shared" si="1"/>
        <v>0</v>
      </c>
      <c r="J37" s="246">
        <f t="shared" si="1"/>
        <v>83.62</v>
      </c>
      <c r="K37" s="246">
        <f t="shared" si="1"/>
        <v>0</v>
      </c>
      <c r="L37" s="246">
        <f t="shared" si="1"/>
        <v>465.58325</v>
      </c>
      <c r="M37" s="246">
        <f t="shared" si="1"/>
        <v>0</v>
      </c>
      <c r="N37" s="246">
        <f t="shared" si="1"/>
        <v>302.1375</v>
      </c>
      <c r="O37" s="246">
        <f t="shared" si="1"/>
        <v>0</v>
      </c>
      <c r="P37" s="246">
        <f t="shared" si="1"/>
        <v>386</v>
      </c>
      <c r="Q37" s="246">
        <f t="shared" si="1"/>
        <v>0</v>
      </c>
      <c r="R37" s="246">
        <f t="shared" si="1"/>
        <v>19.26</v>
      </c>
      <c r="S37" s="246">
        <f t="shared" si="1"/>
        <v>0</v>
      </c>
      <c r="T37" s="246">
        <f t="shared" si="1"/>
        <v>2043.335</v>
      </c>
    </row>
    <row r="38" spans="2:20" ht="13.5">
      <c r="B38" s="246">
        <f>B17+B35</f>
        <v>143</v>
      </c>
      <c r="C38" s="246">
        <f aca="true" t="shared" si="2" ref="C38:T38">C17+C35</f>
        <v>0</v>
      </c>
      <c r="D38" s="246">
        <f t="shared" si="2"/>
        <v>415.295</v>
      </c>
      <c r="E38" s="246">
        <f t="shared" si="2"/>
        <v>0</v>
      </c>
      <c r="F38" s="246">
        <f t="shared" si="2"/>
        <v>32.945</v>
      </c>
      <c r="G38" s="246">
        <f t="shared" si="2"/>
        <v>0</v>
      </c>
      <c r="H38" s="246">
        <f t="shared" si="2"/>
        <v>62.55500000000001</v>
      </c>
      <c r="I38" s="246">
        <f t="shared" si="2"/>
        <v>0</v>
      </c>
      <c r="J38" s="246">
        <f t="shared" si="2"/>
        <v>43.75</v>
      </c>
      <c r="K38" s="246">
        <f t="shared" si="2"/>
        <v>0</v>
      </c>
      <c r="L38" s="246">
        <f t="shared" si="2"/>
        <v>195.178</v>
      </c>
      <c r="M38" s="246">
        <f t="shared" si="2"/>
        <v>0</v>
      </c>
      <c r="N38" s="246">
        <f t="shared" si="2"/>
        <v>127.04849999999999</v>
      </c>
      <c r="O38" s="246">
        <f t="shared" si="2"/>
        <v>0</v>
      </c>
      <c r="P38" s="246">
        <f t="shared" si="2"/>
        <v>143</v>
      </c>
      <c r="Q38" s="246">
        <f t="shared" si="2"/>
        <v>0</v>
      </c>
      <c r="R38" s="246">
        <f t="shared" si="2"/>
        <v>23.52</v>
      </c>
      <c r="S38" s="246">
        <f t="shared" si="2"/>
        <v>0</v>
      </c>
      <c r="T38" s="246">
        <f t="shared" si="2"/>
        <v>856.72</v>
      </c>
    </row>
    <row r="39" spans="2:20" ht="13.5">
      <c r="B39" s="246">
        <f>SUM(B37:B38)</f>
        <v>529</v>
      </c>
      <c r="C39" s="246">
        <f aca="true" t="shared" si="3" ref="C39:T39">SUM(C37:C38)</f>
        <v>0</v>
      </c>
      <c r="D39" s="246">
        <f t="shared" si="3"/>
        <v>1595.08</v>
      </c>
      <c r="E39" s="246">
        <f t="shared" si="3"/>
        <v>0</v>
      </c>
      <c r="F39" s="246">
        <f t="shared" si="3"/>
        <v>175.4654</v>
      </c>
      <c r="G39" s="246">
        <f t="shared" si="3"/>
        <v>0</v>
      </c>
      <c r="H39" s="246">
        <f t="shared" si="3"/>
        <v>223.46</v>
      </c>
      <c r="I39" s="246">
        <f t="shared" si="3"/>
        <v>0</v>
      </c>
      <c r="J39" s="246">
        <f t="shared" si="3"/>
        <v>127.37</v>
      </c>
      <c r="K39" s="246">
        <f t="shared" si="3"/>
        <v>0</v>
      </c>
      <c r="L39" s="246">
        <f t="shared" si="3"/>
        <v>660.76125</v>
      </c>
      <c r="M39" s="246">
        <f t="shared" si="3"/>
        <v>0</v>
      </c>
      <c r="N39" s="246">
        <f t="shared" si="3"/>
        <v>429.186</v>
      </c>
      <c r="O39" s="246">
        <f t="shared" si="3"/>
        <v>0</v>
      </c>
      <c r="P39" s="246">
        <f t="shared" si="3"/>
        <v>529</v>
      </c>
      <c r="Q39" s="246">
        <f t="shared" si="3"/>
        <v>0</v>
      </c>
      <c r="R39" s="246">
        <f t="shared" si="3"/>
        <v>42.78</v>
      </c>
      <c r="S39" s="246">
        <f t="shared" si="3"/>
        <v>0</v>
      </c>
      <c r="T39" s="246">
        <f t="shared" si="3"/>
        <v>2900.0550000000003</v>
      </c>
    </row>
    <row r="41" ht="13.5">
      <c r="I41" s="261">
        <f>E5+I5</f>
        <v>0.40800000000000003</v>
      </c>
    </row>
    <row r="42" spans="9:10" ht="13.5">
      <c r="I42" s="261">
        <f aca="true" t="shared" si="4" ref="I42:J66">E6+I6</f>
        <v>0.13</v>
      </c>
      <c r="J42" s="261">
        <f>F6+J6</f>
        <v>10.76</v>
      </c>
    </row>
    <row r="43" spans="9:10" ht="13.5">
      <c r="I43" s="261">
        <f t="shared" si="4"/>
        <v>0</v>
      </c>
      <c r="J43" s="261">
        <f t="shared" si="4"/>
        <v>4.875</v>
      </c>
    </row>
    <row r="44" spans="9:10" ht="13.5">
      <c r="I44" s="261">
        <f t="shared" si="4"/>
        <v>0</v>
      </c>
      <c r="J44" s="261">
        <f t="shared" si="4"/>
        <v>0</v>
      </c>
    </row>
    <row r="45" spans="9:10" ht="13.5">
      <c r="I45" s="261">
        <f t="shared" si="4"/>
        <v>0</v>
      </c>
      <c r="J45" s="261">
        <f t="shared" si="4"/>
        <v>15.635</v>
      </c>
    </row>
    <row r="46" spans="9:10" ht="13.5">
      <c r="I46" s="261">
        <f t="shared" si="4"/>
        <v>0</v>
      </c>
      <c r="J46" s="261">
        <f t="shared" si="4"/>
        <v>0</v>
      </c>
    </row>
    <row r="47" spans="9:10" ht="13.5">
      <c r="I47" s="261">
        <f t="shared" si="4"/>
        <v>0</v>
      </c>
      <c r="J47" s="261">
        <f t="shared" si="4"/>
        <v>0</v>
      </c>
    </row>
    <row r="48" spans="9:10" ht="13.5">
      <c r="I48" s="261">
        <f t="shared" si="4"/>
        <v>0</v>
      </c>
      <c r="J48" s="261">
        <f t="shared" si="4"/>
        <v>0</v>
      </c>
    </row>
    <row r="49" spans="9:10" ht="13.5">
      <c r="I49" s="261" t="e">
        <f t="shared" si="4"/>
        <v>#VALUE!</v>
      </c>
      <c r="J49" s="261">
        <f t="shared" si="4"/>
        <v>0</v>
      </c>
    </row>
    <row r="50" spans="9:10" ht="13.5">
      <c r="I50" s="261" t="e">
        <f t="shared" si="4"/>
        <v>#VALUE!</v>
      </c>
      <c r="J50" s="261" t="e">
        <f t="shared" si="4"/>
        <v>#VALUE!</v>
      </c>
    </row>
    <row r="51" spans="9:10" ht="13.5">
      <c r="I51" s="261">
        <f t="shared" si="4"/>
        <v>1.571</v>
      </c>
      <c r="J51" s="261">
        <f t="shared" si="4"/>
        <v>0</v>
      </c>
    </row>
    <row r="52" spans="9:10" ht="13.5">
      <c r="I52" s="261">
        <f t="shared" si="4"/>
        <v>1.4968</v>
      </c>
      <c r="J52" s="261">
        <f t="shared" si="4"/>
        <v>76.695</v>
      </c>
    </row>
    <row r="53" spans="9:11" ht="13.5">
      <c r="I53" s="261">
        <f t="shared" si="4"/>
        <v>0</v>
      </c>
      <c r="J53" s="261">
        <f t="shared" si="4"/>
        <v>76.695</v>
      </c>
      <c r="K53" s="261">
        <f>J45+J62</f>
        <v>226.1404</v>
      </c>
    </row>
    <row r="54" spans="9:10" ht="13.5">
      <c r="I54" s="261">
        <f t="shared" si="4"/>
        <v>0</v>
      </c>
      <c r="J54" s="261">
        <f t="shared" si="4"/>
        <v>0</v>
      </c>
    </row>
    <row r="55" spans="9:10" ht="13.5">
      <c r="I55" s="261">
        <f t="shared" si="4"/>
        <v>0</v>
      </c>
      <c r="J55" s="261">
        <f t="shared" si="4"/>
        <v>0</v>
      </c>
    </row>
    <row r="56" spans="9:10" ht="13.5">
      <c r="I56" s="261">
        <f t="shared" si="4"/>
        <v>0</v>
      </c>
      <c r="J56" s="261">
        <f t="shared" si="4"/>
        <v>0</v>
      </c>
    </row>
    <row r="57" spans="9:10" ht="13.5">
      <c r="I57" s="261" t="e">
        <f t="shared" si="4"/>
        <v>#VALUE!</v>
      </c>
      <c r="J57" s="261">
        <f t="shared" si="4"/>
        <v>0</v>
      </c>
    </row>
    <row r="58" spans="9:10" ht="13.5">
      <c r="I58" s="261" t="e">
        <f t="shared" si="4"/>
        <v>#VALUE!</v>
      </c>
      <c r="J58" s="261" t="e">
        <f t="shared" si="4"/>
        <v>#VALUE!</v>
      </c>
    </row>
    <row r="59" spans="9:10" ht="13.5">
      <c r="I59" s="261">
        <f t="shared" si="4"/>
        <v>0.6552</v>
      </c>
      <c r="J59" s="261">
        <f t="shared" si="4"/>
        <v>0</v>
      </c>
    </row>
    <row r="60" spans="9:10" ht="13.5">
      <c r="I60" s="261">
        <f t="shared" si="4"/>
        <v>0.9954000000000001</v>
      </c>
      <c r="J60" s="261">
        <f t="shared" si="4"/>
        <v>176.61419999999998</v>
      </c>
    </row>
    <row r="61" spans="9:10" ht="13.5">
      <c r="I61" s="261">
        <f t="shared" si="4"/>
        <v>1.1228</v>
      </c>
      <c r="J61" s="261">
        <f t="shared" si="4"/>
        <v>33.8912</v>
      </c>
    </row>
    <row r="62" spans="9:10" ht="13.5">
      <c r="I62" s="261">
        <f t="shared" si="4"/>
        <v>0</v>
      </c>
      <c r="J62" s="261">
        <f t="shared" si="4"/>
        <v>210.5054</v>
      </c>
    </row>
    <row r="63" spans="9:10" ht="13.5">
      <c r="I63" s="261">
        <f t="shared" si="4"/>
        <v>0</v>
      </c>
      <c r="J63" s="261">
        <f t="shared" si="4"/>
        <v>0</v>
      </c>
    </row>
    <row r="64" spans="9:10" ht="13.5">
      <c r="I64" s="261">
        <f t="shared" si="4"/>
        <v>0</v>
      </c>
      <c r="J64" s="261">
        <f t="shared" si="4"/>
        <v>0</v>
      </c>
    </row>
    <row r="65" spans="9:10" ht="13.5">
      <c r="I65" s="261">
        <f t="shared" si="4"/>
        <v>0</v>
      </c>
      <c r="J65" s="261">
        <f t="shared" si="4"/>
        <v>0</v>
      </c>
    </row>
    <row r="66" spans="9:10" ht="13.5">
      <c r="I66" s="261" t="e">
        <f t="shared" si="4"/>
        <v>#VALUE!</v>
      </c>
      <c r="J66" s="261">
        <f t="shared" si="4"/>
        <v>0</v>
      </c>
    </row>
  </sheetData>
  <sheetProtection/>
  <mergeCells count="60">
    <mergeCell ref="A1:T1"/>
    <mergeCell ref="C2:J2"/>
    <mergeCell ref="K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11:T11"/>
    <mergeCell ref="C12:J12"/>
    <mergeCell ref="K12:P12"/>
    <mergeCell ref="S12:T12"/>
    <mergeCell ref="S13:T13"/>
    <mergeCell ref="A19:T19"/>
    <mergeCell ref="C20:J20"/>
    <mergeCell ref="K20:P20"/>
    <mergeCell ref="S20:T20"/>
    <mergeCell ref="C13:D13"/>
    <mergeCell ref="E13:F13"/>
    <mergeCell ref="G13:H13"/>
    <mergeCell ref="I13:J13"/>
    <mergeCell ref="K13:L13"/>
    <mergeCell ref="K21:L21"/>
    <mergeCell ref="M21:N21"/>
    <mergeCell ref="O13:P13"/>
    <mergeCell ref="Q13:R13"/>
    <mergeCell ref="M13:N13"/>
    <mergeCell ref="O21:P21"/>
    <mergeCell ref="Q21:R21"/>
    <mergeCell ref="C21:D21"/>
    <mergeCell ref="E21:F21"/>
    <mergeCell ref="C30:D30"/>
    <mergeCell ref="E30:F30"/>
    <mergeCell ref="G21:H21"/>
    <mergeCell ref="I21:J21"/>
    <mergeCell ref="K30:L30"/>
    <mergeCell ref="M30:N30"/>
    <mergeCell ref="O30:P30"/>
    <mergeCell ref="Q30:R30"/>
    <mergeCell ref="S21:T21"/>
    <mergeCell ref="A28:T28"/>
    <mergeCell ref="C29:J29"/>
    <mergeCell ref="K29:P29"/>
    <mergeCell ref="S29:T29"/>
    <mergeCell ref="B29:B31"/>
    <mergeCell ref="S30:T30"/>
    <mergeCell ref="A2:A4"/>
    <mergeCell ref="A12:A14"/>
    <mergeCell ref="A20:A22"/>
    <mergeCell ref="A29:A31"/>
    <mergeCell ref="B2:B4"/>
    <mergeCell ref="B12:B14"/>
    <mergeCell ref="B20:B22"/>
    <mergeCell ref="G30:H30"/>
    <mergeCell ref="I30:J30"/>
  </mergeCells>
  <printOptions/>
  <pageMargins left="1.9685039370078743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&amp;C-8-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/>
  </sheetPr>
  <dimension ref="A1:P38"/>
  <sheetViews>
    <sheetView workbookViewId="0" topLeftCell="A19">
      <selection activeCell="I39" sqref="I39"/>
    </sheetView>
  </sheetViews>
  <sheetFormatPr defaultColWidth="8.125" defaultRowHeight="14.25"/>
  <cols>
    <col min="1" max="1" width="6.25390625" style="269" customWidth="1"/>
    <col min="2" max="2" width="9.375" style="269" customWidth="1"/>
    <col min="3" max="3" width="8.25390625" style="269" customWidth="1"/>
    <col min="4" max="4" width="8.375" style="269" customWidth="1"/>
    <col min="5" max="5" width="8.75390625" style="269" customWidth="1"/>
    <col min="6" max="15" width="8.125" style="269" customWidth="1"/>
    <col min="16" max="16" width="9.75390625" style="269" customWidth="1"/>
    <col min="17" max="16384" width="8.125" style="269" customWidth="1"/>
  </cols>
  <sheetData>
    <row r="1" spans="1:16" ht="41.25" customHeight="1">
      <c r="A1" s="493" t="s">
        <v>425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 ht="18.75" customHeight="1">
      <c r="A2" s="490" t="s">
        <v>426</v>
      </c>
      <c r="B2" s="492" t="s">
        <v>427</v>
      </c>
      <c r="C2" s="492" t="s">
        <v>428</v>
      </c>
      <c r="D2" s="492"/>
      <c r="E2" s="492"/>
      <c r="F2" s="492"/>
      <c r="G2" s="495" t="s">
        <v>429</v>
      </c>
      <c r="H2" s="496"/>
      <c r="I2" s="496"/>
      <c r="J2" s="496"/>
      <c r="K2" s="496"/>
      <c r="L2" s="496"/>
      <c r="M2" s="496"/>
      <c r="N2" s="497"/>
      <c r="O2" s="492" t="s">
        <v>430</v>
      </c>
      <c r="P2" s="494"/>
    </row>
    <row r="3" spans="1:16" ht="18.75" customHeight="1">
      <c r="A3" s="491"/>
      <c r="B3" s="488"/>
      <c r="C3" s="488" t="s">
        <v>431</v>
      </c>
      <c r="D3" s="488"/>
      <c r="E3" s="488" t="s">
        <v>434</v>
      </c>
      <c r="F3" s="488"/>
      <c r="G3" s="486" t="s">
        <v>246</v>
      </c>
      <c r="H3" s="487"/>
      <c r="I3" s="488" t="s">
        <v>169</v>
      </c>
      <c r="J3" s="488"/>
      <c r="K3" s="488" t="s">
        <v>435</v>
      </c>
      <c r="L3" s="488"/>
      <c r="M3" s="488" t="s">
        <v>436</v>
      </c>
      <c r="N3" s="488"/>
      <c r="O3" s="488" t="s">
        <v>89</v>
      </c>
      <c r="P3" s="489"/>
    </row>
    <row r="4" spans="1:16" ht="27.75" customHeight="1">
      <c r="A4" s="491"/>
      <c r="B4" s="488"/>
      <c r="C4" s="272" t="s">
        <v>437</v>
      </c>
      <c r="D4" s="272" t="s">
        <v>428</v>
      </c>
      <c r="E4" s="272" t="s">
        <v>437</v>
      </c>
      <c r="F4" s="272" t="s">
        <v>428</v>
      </c>
      <c r="G4" s="272" t="s">
        <v>437</v>
      </c>
      <c r="H4" s="272" t="s">
        <v>438</v>
      </c>
      <c r="I4" s="272" t="s">
        <v>437</v>
      </c>
      <c r="J4" s="272" t="s">
        <v>438</v>
      </c>
      <c r="K4" s="272" t="s">
        <v>437</v>
      </c>
      <c r="L4" s="272" t="s">
        <v>438</v>
      </c>
      <c r="M4" s="272" t="s">
        <v>438</v>
      </c>
      <c r="N4" s="272" t="s">
        <v>439</v>
      </c>
      <c r="O4" s="272" t="s">
        <v>440</v>
      </c>
      <c r="P4" s="284" t="s">
        <v>441</v>
      </c>
    </row>
    <row r="5" spans="1:16" ht="18.75" customHeight="1">
      <c r="A5" s="271" t="s">
        <v>442</v>
      </c>
      <c r="B5" s="272">
        <v>0</v>
      </c>
      <c r="C5" s="273">
        <f>1.87+0.34</f>
        <v>2.21</v>
      </c>
      <c r="D5" s="273"/>
      <c r="E5" s="273">
        <f>0.31+0.15+0.22+0.02</f>
        <v>0.7</v>
      </c>
      <c r="F5" s="273"/>
      <c r="G5" s="273">
        <f>0.77*1.15</f>
        <v>0.8855</v>
      </c>
      <c r="H5" s="274"/>
      <c r="I5" s="273">
        <f>0.37*1.5</f>
        <v>0.5549999999999999</v>
      </c>
      <c r="J5" s="274"/>
      <c r="K5" s="273">
        <f>1*1</f>
        <v>1</v>
      </c>
      <c r="L5" s="274"/>
      <c r="M5" s="273">
        <f>1*1*3.85</f>
        <v>3.85</v>
      </c>
      <c r="N5" s="273">
        <f>M5</f>
        <v>3.85</v>
      </c>
      <c r="O5" s="273">
        <v>3.96</v>
      </c>
      <c r="P5" s="285"/>
    </row>
    <row r="6" spans="1:16" ht="18.75" customHeight="1">
      <c r="A6" s="271" t="s">
        <v>443</v>
      </c>
      <c r="B6" s="272">
        <v>40</v>
      </c>
      <c r="C6" s="273">
        <f>2.34+0.27</f>
        <v>2.61</v>
      </c>
      <c r="D6" s="273">
        <f>(C5+C6)/2*B6</f>
        <v>96.4</v>
      </c>
      <c r="E6" s="273">
        <f>0.33+0.15+0.08+0.02</f>
        <v>0.58</v>
      </c>
      <c r="F6" s="273">
        <f>(E5+E6)/2*B6</f>
        <v>25.599999999999994</v>
      </c>
      <c r="G6" s="273">
        <f>G5</f>
        <v>0.8855</v>
      </c>
      <c r="H6" s="273">
        <f>(G5+G6)/2*B6</f>
        <v>35.42</v>
      </c>
      <c r="I6" s="273">
        <f>0.37*1.5</f>
        <v>0.5549999999999999</v>
      </c>
      <c r="J6" s="273">
        <f>(I5+I6)/2*B6</f>
        <v>22.199999999999996</v>
      </c>
      <c r="K6" s="273">
        <f>1*1</f>
        <v>1</v>
      </c>
      <c r="L6" s="273">
        <f>(K5+K6)/2*B6</f>
        <v>40</v>
      </c>
      <c r="M6" s="273"/>
      <c r="N6" s="273"/>
      <c r="O6" s="273">
        <v>3.96</v>
      </c>
      <c r="P6" s="286">
        <f>(O5+O6)/2*B6</f>
        <v>158.4</v>
      </c>
    </row>
    <row r="7" spans="1:16" ht="18.75" customHeight="1">
      <c r="A7" s="271" t="s">
        <v>444</v>
      </c>
      <c r="B7" s="272">
        <v>75</v>
      </c>
      <c r="C7" s="273">
        <f>1.72+1.36</f>
        <v>3.08</v>
      </c>
      <c r="D7" s="273">
        <f>(C6+C7)/2*B7</f>
        <v>213.37499999999997</v>
      </c>
      <c r="E7" s="273">
        <f>0.28+0.15+0.04</f>
        <v>0.47000000000000003</v>
      </c>
      <c r="F7" s="273">
        <f>(E6+E7)/2*B7</f>
        <v>39.375</v>
      </c>
      <c r="G7" s="273">
        <f>1*1.15</f>
        <v>1.15</v>
      </c>
      <c r="H7" s="273">
        <f>(G6+G7)/2*B7</f>
        <v>76.33125</v>
      </c>
      <c r="I7" s="273">
        <f>0.5*1.5</f>
        <v>0.75</v>
      </c>
      <c r="J7" s="273">
        <f>(I6+I7)/2*B7</f>
        <v>48.9375</v>
      </c>
      <c r="K7" s="273">
        <f>1*1</f>
        <v>1</v>
      </c>
      <c r="L7" s="273">
        <f>(K6+K7)/2*B7</f>
        <v>75</v>
      </c>
      <c r="M7" s="273"/>
      <c r="N7" s="273"/>
      <c r="O7" s="273">
        <v>4.97</v>
      </c>
      <c r="P7" s="286">
        <f>(O6+O7)/2*B7</f>
        <v>334.875</v>
      </c>
    </row>
    <row r="8" spans="1:16" ht="18.75" customHeight="1">
      <c r="A8" s="275" t="s">
        <v>445</v>
      </c>
      <c r="B8" s="276">
        <v>25</v>
      </c>
      <c r="C8" s="273">
        <v>2.94</v>
      </c>
      <c r="D8" s="273">
        <f>(C7+C8)/2*B8</f>
        <v>75.25</v>
      </c>
      <c r="E8" s="273">
        <f>0.27+0.15+0.02</f>
        <v>0.44000000000000006</v>
      </c>
      <c r="F8" s="273">
        <f>(E7+E8)/2*B8</f>
        <v>11.375000000000002</v>
      </c>
      <c r="G8" s="273">
        <f>1*1.15</f>
        <v>1.15</v>
      </c>
      <c r="H8" s="273">
        <f>(G7+G8)/2*B8</f>
        <v>28.749999999999996</v>
      </c>
      <c r="I8" s="273">
        <f>0.5*1.5</f>
        <v>0.75</v>
      </c>
      <c r="J8" s="273">
        <f>(I7+I8)/2*B8</f>
        <v>18.75</v>
      </c>
      <c r="K8" s="273">
        <f>1*1</f>
        <v>1</v>
      </c>
      <c r="L8" s="273">
        <f>(K7+K8)/2*B8</f>
        <v>25</v>
      </c>
      <c r="M8" s="273">
        <f>1*1*3.85</f>
        <v>3.85</v>
      </c>
      <c r="N8" s="273">
        <f>M8</f>
        <v>3.85</v>
      </c>
      <c r="O8" s="273">
        <v>4.97</v>
      </c>
      <c r="P8" s="286">
        <f>(O7+O8)/2*B8</f>
        <v>124.25</v>
      </c>
    </row>
    <row r="9" spans="1:16" ht="18.75" customHeight="1">
      <c r="A9" s="277" t="s">
        <v>276</v>
      </c>
      <c r="B9" s="278">
        <f>SUM(B5:B8)</f>
        <v>140</v>
      </c>
      <c r="C9" s="279"/>
      <c r="D9" s="279">
        <f>SUM(D5:D8)</f>
        <v>385.025</v>
      </c>
      <c r="E9" s="279"/>
      <c r="F9" s="279">
        <f aca="true" t="shared" si="0" ref="F9:N9">SUM(F5:F8)</f>
        <v>76.35</v>
      </c>
      <c r="G9" s="279"/>
      <c r="H9" s="279">
        <f t="shared" si="0"/>
        <v>140.50125</v>
      </c>
      <c r="I9" s="279"/>
      <c r="J9" s="279">
        <f t="shared" si="0"/>
        <v>89.88749999999999</v>
      </c>
      <c r="K9" s="279"/>
      <c r="L9" s="279">
        <f t="shared" si="0"/>
        <v>140</v>
      </c>
      <c r="M9" s="279"/>
      <c r="N9" s="279">
        <f t="shared" si="0"/>
        <v>7.7</v>
      </c>
      <c r="O9" s="282"/>
      <c r="P9" s="287">
        <f>SUM(P5:P8)</f>
        <v>617.525</v>
      </c>
    </row>
    <row r="11" spans="1:16" ht="25.5">
      <c r="A11" s="493" t="s">
        <v>446</v>
      </c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</row>
    <row r="12" spans="1:16" ht="13.5">
      <c r="A12" s="490" t="s">
        <v>426</v>
      </c>
      <c r="B12" s="492" t="s">
        <v>427</v>
      </c>
      <c r="C12" s="492" t="s">
        <v>428</v>
      </c>
      <c r="D12" s="492"/>
      <c r="E12" s="492"/>
      <c r="F12" s="492"/>
      <c r="G12" s="492" t="s">
        <v>429</v>
      </c>
      <c r="H12" s="492"/>
      <c r="I12" s="492"/>
      <c r="J12" s="492"/>
      <c r="K12" s="492"/>
      <c r="L12" s="492"/>
      <c r="M12" s="270"/>
      <c r="N12" s="270"/>
      <c r="O12" s="492" t="s">
        <v>430</v>
      </c>
      <c r="P12" s="494"/>
    </row>
    <row r="13" spans="1:16" ht="13.5">
      <c r="A13" s="491"/>
      <c r="B13" s="488"/>
      <c r="C13" s="488" t="s">
        <v>431</v>
      </c>
      <c r="D13" s="488"/>
      <c r="E13" s="488" t="s">
        <v>434</v>
      </c>
      <c r="F13" s="488"/>
      <c r="G13" s="486" t="s">
        <v>246</v>
      </c>
      <c r="H13" s="487"/>
      <c r="I13" s="488" t="s">
        <v>169</v>
      </c>
      <c r="J13" s="488"/>
      <c r="K13" s="488" t="s">
        <v>435</v>
      </c>
      <c r="L13" s="488"/>
      <c r="M13" s="488" t="s">
        <v>436</v>
      </c>
      <c r="N13" s="488"/>
      <c r="O13" s="488" t="s">
        <v>89</v>
      </c>
      <c r="P13" s="489"/>
    </row>
    <row r="14" spans="1:16" ht="26.25">
      <c r="A14" s="491"/>
      <c r="B14" s="488"/>
      <c r="C14" s="272" t="s">
        <v>437</v>
      </c>
      <c r="D14" s="272" t="s">
        <v>428</v>
      </c>
      <c r="E14" s="272" t="s">
        <v>437</v>
      </c>
      <c r="F14" s="272" t="s">
        <v>428</v>
      </c>
      <c r="G14" s="272" t="s">
        <v>437</v>
      </c>
      <c r="H14" s="272" t="s">
        <v>438</v>
      </c>
      <c r="I14" s="272" t="s">
        <v>437</v>
      </c>
      <c r="J14" s="272" t="s">
        <v>438</v>
      </c>
      <c r="K14" s="272" t="s">
        <v>437</v>
      </c>
      <c r="L14" s="272" t="s">
        <v>438</v>
      </c>
      <c r="M14" s="272" t="s">
        <v>438</v>
      </c>
      <c r="N14" s="272" t="s">
        <v>439</v>
      </c>
      <c r="O14" s="272" t="s">
        <v>440</v>
      </c>
      <c r="P14" s="284" t="s">
        <v>441</v>
      </c>
    </row>
    <row r="15" spans="1:16" ht="18.75" customHeight="1">
      <c r="A15" s="271" t="s">
        <v>447</v>
      </c>
      <c r="B15" s="272">
        <v>0</v>
      </c>
      <c r="C15" s="273">
        <f>0.06+2.2</f>
        <v>2.2600000000000002</v>
      </c>
      <c r="D15" s="273"/>
      <c r="E15" s="273">
        <f>0.02+1.16+0.15+0.27</f>
        <v>1.5999999999999999</v>
      </c>
      <c r="F15" s="273"/>
      <c r="G15" s="280">
        <f>0.995*1.15</f>
        <v>1.14425</v>
      </c>
      <c r="H15" s="274"/>
      <c r="I15" s="280">
        <f>0.498*1.5</f>
        <v>0.747</v>
      </c>
      <c r="J15" s="274"/>
      <c r="K15" s="273">
        <f>1*1</f>
        <v>1</v>
      </c>
      <c r="L15" s="274"/>
      <c r="M15" s="273">
        <f>1*1*5.33</f>
        <v>5.33</v>
      </c>
      <c r="N15" s="273">
        <f>M15</f>
        <v>5.33</v>
      </c>
      <c r="O15" s="273">
        <v>4.97</v>
      </c>
      <c r="P15" s="285"/>
    </row>
    <row r="16" spans="1:16" ht="18.75" customHeight="1">
      <c r="A16" s="275" t="s">
        <v>448</v>
      </c>
      <c r="B16" s="276">
        <v>50</v>
      </c>
      <c r="C16" s="273">
        <f>0.22+1.87</f>
        <v>2.0900000000000003</v>
      </c>
      <c r="D16" s="273">
        <f>(C15+C16)/2*B16</f>
        <v>108.75000000000001</v>
      </c>
      <c r="E16" s="273">
        <f>0.02+1.08+0.15+0.28</f>
        <v>1.53</v>
      </c>
      <c r="F16" s="273">
        <f>(E15+E16)/2*B16</f>
        <v>78.25</v>
      </c>
      <c r="G16" s="280">
        <f>0.995*1.15</f>
        <v>1.14425</v>
      </c>
      <c r="H16" s="273">
        <f>(G15+G16)/2*B16</f>
        <v>57.2125</v>
      </c>
      <c r="I16" s="280">
        <f>0.498*1.5</f>
        <v>0.747</v>
      </c>
      <c r="J16" s="273">
        <f>(I15+I16)/2*B16</f>
        <v>37.35</v>
      </c>
      <c r="K16" s="273">
        <f>1*1</f>
        <v>1</v>
      </c>
      <c r="L16" s="273">
        <f>(K15+K16)/2*B16</f>
        <v>50</v>
      </c>
      <c r="M16" s="273">
        <f>1*1*5.33</f>
        <v>5.33</v>
      </c>
      <c r="N16" s="273">
        <f>M16</f>
        <v>5.33</v>
      </c>
      <c r="O16" s="273">
        <v>4.97</v>
      </c>
      <c r="P16" s="286">
        <f>(O15+O16)/2*B16</f>
        <v>248.5</v>
      </c>
    </row>
    <row r="17" spans="1:16" ht="18.75" customHeight="1">
      <c r="A17" s="277" t="s">
        <v>276</v>
      </c>
      <c r="B17" s="278">
        <f>SUM(B15:B16)</f>
        <v>50</v>
      </c>
      <c r="C17" s="281"/>
      <c r="D17" s="281">
        <f>SUM(D15:D16)</f>
        <v>108.75000000000001</v>
      </c>
      <c r="E17" s="281"/>
      <c r="F17" s="281">
        <f>SUM(F15:F16)</f>
        <v>78.25</v>
      </c>
      <c r="G17" s="281"/>
      <c r="H17" s="281">
        <f>SUM(H15:H16)</f>
        <v>57.2125</v>
      </c>
      <c r="I17" s="281"/>
      <c r="J17" s="281">
        <f>SUM(J15:J16)</f>
        <v>37.35</v>
      </c>
      <c r="K17" s="281"/>
      <c r="L17" s="281">
        <f>SUM(L15:L16)</f>
        <v>50</v>
      </c>
      <c r="M17" s="281"/>
      <c r="N17" s="281">
        <f>SUM(N15:N16)</f>
        <v>10.66</v>
      </c>
      <c r="O17" s="288"/>
      <c r="P17" s="289">
        <f>SUM(P15:P16)</f>
        <v>248.5</v>
      </c>
    </row>
    <row r="19" spans="1:16" ht="25.5">
      <c r="A19" s="493" t="s">
        <v>449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</row>
    <row r="20" spans="1:16" ht="18.75" customHeight="1">
      <c r="A20" s="490" t="s">
        <v>426</v>
      </c>
      <c r="B20" s="492" t="s">
        <v>427</v>
      </c>
      <c r="C20" s="492" t="s">
        <v>428</v>
      </c>
      <c r="D20" s="492"/>
      <c r="E20" s="492"/>
      <c r="F20" s="492"/>
      <c r="G20" s="492" t="s">
        <v>429</v>
      </c>
      <c r="H20" s="492"/>
      <c r="I20" s="492"/>
      <c r="J20" s="492"/>
      <c r="K20" s="492"/>
      <c r="L20" s="492"/>
      <c r="M20" s="270"/>
      <c r="N20" s="270"/>
      <c r="O20" s="492" t="s">
        <v>430</v>
      </c>
      <c r="P20" s="494"/>
    </row>
    <row r="21" spans="1:16" ht="18.75" customHeight="1">
      <c r="A21" s="491"/>
      <c r="B21" s="488"/>
      <c r="C21" s="488" t="s">
        <v>431</v>
      </c>
      <c r="D21" s="488"/>
      <c r="E21" s="488" t="s">
        <v>434</v>
      </c>
      <c r="F21" s="488"/>
      <c r="G21" s="486" t="s">
        <v>246</v>
      </c>
      <c r="H21" s="487"/>
      <c r="I21" s="488" t="s">
        <v>169</v>
      </c>
      <c r="J21" s="488"/>
      <c r="K21" s="488" t="s">
        <v>435</v>
      </c>
      <c r="L21" s="488"/>
      <c r="M21" s="488" t="s">
        <v>436</v>
      </c>
      <c r="N21" s="488"/>
      <c r="O21" s="488" t="s">
        <v>89</v>
      </c>
      <c r="P21" s="489"/>
    </row>
    <row r="22" spans="1:16" ht="27.75" customHeight="1">
      <c r="A22" s="491"/>
      <c r="B22" s="488"/>
      <c r="C22" s="272" t="s">
        <v>437</v>
      </c>
      <c r="D22" s="272" t="s">
        <v>428</v>
      </c>
      <c r="E22" s="272" t="s">
        <v>437</v>
      </c>
      <c r="F22" s="272" t="s">
        <v>428</v>
      </c>
      <c r="G22" s="272" t="s">
        <v>437</v>
      </c>
      <c r="H22" s="272" t="s">
        <v>438</v>
      </c>
      <c r="I22" s="272" t="s">
        <v>437</v>
      </c>
      <c r="J22" s="272" t="s">
        <v>438</v>
      </c>
      <c r="K22" s="272" t="s">
        <v>437</v>
      </c>
      <c r="L22" s="272" t="s">
        <v>438</v>
      </c>
      <c r="M22" s="272" t="s">
        <v>438</v>
      </c>
      <c r="N22" s="272" t="s">
        <v>439</v>
      </c>
      <c r="O22" s="272" t="s">
        <v>440</v>
      </c>
      <c r="P22" s="284" t="s">
        <v>441</v>
      </c>
    </row>
    <row r="23" spans="1:16" ht="18.75" customHeight="1">
      <c r="A23" s="271" t="s">
        <v>450</v>
      </c>
      <c r="B23" s="272">
        <v>0</v>
      </c>
      <c r="C23" s="273">
        <f>1.55+0.98</f>
        <v>2.5300000000000002</v>
      </c>
      <c r="D23" s="273"/>
      <c r="E23" s="273">
        <f>0.26+0.15+0.36+0.02</f>
        <v>0.79</v>
      </c>
      <c r="F23" s="273"/>
      <c r="G23" s="273">
        <f>1.07*1.15</f>
        <v>1.2305</v>
      </c>
      <c r="H23" s="274"/>
      <c r="I23" s="273">
        <f>0.53*1.5</f>
        <v>0.795</v>
      </c>
      <c r="J23" s="274"/>
      <c r="K23" s="273">
        <f>1*1</f>
        <v>1</v>
      </c>
      <c r="L23" s="274"/>
      <c r="M23" s="273">
        <f>1*1*5.33</f>
        <v>5.33</v>
      </c>
      <c r="N23" s="273">
        <f>M23</f>
        <v>5.33</v>
      </c>
      <c r="O23" s="273">
        <v>5.44</v>
      </c>
      <c r="P23" s="285"/>
    </row>
    <row r="24" spans="1:16" ht="18.75" customHeight="1">
      <c r="A24" s="271" t="s">
        <v>451</v>
      </c>
      <c r="B24" s="272">
        <f>633-419</f>
        <v>214</v>
      </c>
      <c r="C24" s="273">
        <f>1.41+1.72</f>
        <v>3.13</v>
      </c>
      <c r="D24" s="273">
        <f>(C23+C24)/2*B24</f>
        <v>605.62</v>
      </c>
      <c r="E24" s="273">
        <f>0.23+0.64+0.04</f>
        <v>0.91</v>
      </c>
      <c r="F24" s="273">
        <f>(E23+E24)/2*B24</f>
        <v>181.9</v>
      </c>
      <c r="G24" s="273">
        <f>1.21*1.15</f>
        <v>1.3915</v>
      </c>
      <c r="H24" s="273">
        <f>(G23+G24)/2*B24</f>
        <v>280.554</v>
      </c>
      <c r="I24" s="273">
        <f>0.61*1.5</f>
        <v>0.915</v>
      </c>
      <c r="J24" s="273">
        <f>(I23+I24)/2*B24</f>
        <v>182.97</v>
      </c>
      <c r="K24" s="273">
        <f>1*1</f>
        <v>1</v>
      </c>
      <c r="L24" s="273">
        <f>(K23+K24)/2*B24</f>
        <v>214</v>
      </c>
      <c r="M24" s="273"/>
      <c r="N24" s="273"/>
      <c r="O24" s="273">
        <v>6.07</v>
      </c>
      <c r="P24" s="286">
        <f>(O23+O24)/2*B24</f>
        <v>1231.5700000000002</v>
      </c>
    </row>
    <row r="25" spans="1:16" ht="18.75" customHeight="1">
      <c r="A25" s="275" t="s">
        <v>452</v>
      </c>
      <c r="B25" s="276">
        <v>32</v>
      </c>
      <c r="C25" s="273">
        <f>1.5+1.36</f>
        <v>2.8600000000000003</v>
      </c>
      <c r="D25" s="273">
        <f>(C24+C25)/2*B25</f>
        <v>95.84</v>
      </c>
      <c r="E25" s="273">
        <v>0.74</v>
      </c>
      <c r="F25" s="273">
        <f>(E24+E25)/2*B25</f>
        <v>26.4</v>
      </c>
      <c r="G25" s="273">
        <f>1.21*1.15</f>
        <v>1.3915</v>
      </c>
      <c r="H25" s="273">
        <f>(G24+G25)/2*B25</f>
        <v>44.528</v>
      </c>
      <c r="I25" s="273">
        <f>0.61*1.5</f>
        <v>0.915</v>
      </c>
      <c r="J25" s="273">
        <f>(I24+I25)/2*B25</f>
        <v>29.28</v>
      </c>
      <c r="K25" s="273">
        <f>1*1</f>
        <v>1</v>
      </c>
      <c r="L25" s="273">
        <f>(K24+K25)/2*B25</f>
        <v>32</v>
      </c>
      <c r="M25" s="273">
        <f>1*1*6.23</f>
        <v>6.23</v>
      </c>
      <c r="N25" s="273">
        <f>M25</f>
        <v>6.23</v>
      </c>
      <c r="O25" s="273">
        <v>6.07</v>
      </c>
      <c r="P25" s="286">
        <f>(O24+O25)/2*B25</f>
        <v>194.24</v>
      </c>
    </row>
    <row r="26" spans="1:16" ht="18.75" customHeight="1">
      <c r="A26" s="277" t="s">
        <v>276</v>
      </c>
      <c r="B26" s="278">
        <f>SUM(B23:B25)</f>
        <v>246</v>
      </c>
      <c r="C26" s="278"/>
      <c r="D26" s="278">
        <f aca="true" t="shared" si="1" ref="D26:N26">SUM(D23:D25)</f>
        <v>701.46</v>
      </c>
      <c r="E26" s="278"/>
      <c r="F26" s="278">
        <f t="shared" si="1"/>
        <v>208.3</v>
      </c>
      <c r="G26" s="278"/>
      <c r="H26" s="278">
        <f t="shared" si="1"/>
        <v>325.082</v>
      </c>
      <c r="I26" s="278"/>
      <c r="J26" s="278">
        <f t="shared" si="1"/>
        <v>212.25</v>
      </c>
      <c r="K26" s="278"/>
      <c r="L26" s="278">
        <f t="shared" si="1"/>
        <v>246</v>
      </c>
      <c r="M26" s="278"/>
      <c r="N26" s="278">
        <f t="shared" si="1"/>
        <v>11.56</v>
      </c>
      <c r="O26" s="282"/>
      <c r="P26" s="287">
        <f>SUM(P23:P25)</f>
        <v>1425.8100000000002</v>
      </c>
    </row>
    <row r="28" spans="1:16" ht="25.5">
      <c r="A28" s="493" t="s">
        <v>458</v>
      </c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</row>
    <row r="29" spans="1:16" ht="18.75" customHeight="1">
      <c r="A29" s="490" t="s">
        <v>426</v>
      </c>
      <c r="B29" s="492" t="s">
        <v>427</v>
      </c>
      <c r="C29" s="492" t="s">
        <v>428</v>
      </c>
      <c r="D29" s="492"/>
      <c r="E29" s="492"/>
      <c r="F29" s="492"/>
      <c r="G29" s="492" t="s">
        <v>429</v>
      </c>
      <c r="H29" s="492"/>
      <c r="I29" s="492"/>
      <c r="J29" s="492"/>
      <c r="K29" s="492"/>
      <c r="L29" s="492"/>
      <c r="M29" s="270"/>
      <c r="N29" s="270"/>
      <c r="O29" s="492" t="s">
        <v>430</v>
      </c>
      <c r="P29" s="494"/>
    </row>
    <row r="30" spans="1:16" ht="18.75" customHeight="1">
      <c r="A30" s="491"/>
      <c r="B30" s="488"/>
      <c r="C30" s="488" t="s">
        <v>431</v>
      </c>
      <c r="D30" s="488"/>
      <c r="E30" s="488" t="s">
        <v>434</v>
      </c>
      <c r="F30" s="488"/>
      <c r="G30" s="486" t="s">
        <v>246</v>
      </c>
      <c r="H30" s="487"/>
      <c r="I30" s="488" t="s">
        <v>169</v>
      </c>
      <c r="J30" s="488"/>
      <c r="K30" s="488" t="s">
        <v>435</v>
      </c>
      <c r="L30" s="488"/>
      <c r="M30" s="486" t="s">
        <v>454</v>
      </c>
      <c r="N30" s="487"/>
      <c r="O30" s="488" t="s">
        <v>89</v>
      </c>
      <c r="P30" s="489"/>
    </row>
    <row r="31" spans="1:16" ht="26.25" customHeight="1">
      <c r="A31" s="491"/>
      <c r="B31" s="488"/>
      <c r="C31" s="272" t="s">
        <v>437</v>
      </c>
      <c r="D31" s="272" t="s">
        <v>428</v>
      </c>
      <c r="E31" s="272" t="s">
        <v>437</v>
      </c>
      <c r="F31" s="272" t="s">
        <v>428</v>
      </c>
      <c r="G31" s="272" t="s">
        <v>437</v>
      </c>
      <c r="H31" s="272" t="s">
        <v>438</v>
      </c>
      <c r="I31" s="272" t="s">
        <v>437</v>
      </c>
      <c r="J31" s="272" t="s">
        <v>438</v>
      </c>
      <c r="K31" s="272" t="s">
        <v>437</v>
      </c>
      <c r="L31" s="272" t="s">
        <v>438</v>
      </c>
      <c r="M31" s="272" t="s">
        <v>438</v>
      </c>
      <c r="N31" s="272" t="s">
        <v>439</v>
      </c>
      <c r="O31" s="272" t="s">
        <v>440</v>
      </c>
      <c r="P31" s="284" t="s">
        <v>441</v>
      </c>
    </row>
    <row r="32" spans="1:16" ht="18.75" customHeight="1">
      <c r="A32" s="271" t="s">
        <v>455</v>
      </c>
      <c r="B32" s="272">
        <v>0</v>
      </c>
      <c r="C32" s="273">
        <f>0.25+2.63</f>
        <v>2.88</v>
      </c>
      <c r="D32" s="273"/>
      <c r="E32" s="273">
        <f>0.1+0.03+0.01+0.15+0.35</f>
        <v>0.64</v>
      </c>
      <c r="F32" s="273"/>
      <c r="G32" s="273">
        <f>1.29*1.15</f>
        <v>1.4834999999999998</v>
      </c>
      <c r="H32" s="274"/>
      <c r="I32" s="280">
        <f>0.643*1.5</f>
        <v>0.9645</v>
      </c>
      <c r="J32" s="274"/>
      <c r="K32" s="273">
        <f>1*1</f>
        <v>1</v>
      </c>
      <c r="L32" s="274"/>
      <c r="M32" s="273">
        <f>1*1*6.43</f>
        <v>6.43</v>
      </c>
      <c r="N32" s="273">
        <f>M32</f>
        <v>6.43</v>
      </c>
      <c r="O32" s="273">
        <v>6.54</v>
      </c>
      <c r="P32" s="285"/>
    </row>
    <row r="33" spans="1:16" ht="18.75" customHeight="1">
      <c r="A33" s="271" t="s">
        <v>456</v>
      </c>
      <c r="B33" s="272">
        <v>44</v>
      </c>
      <c r="C33" s="273">
        <v>2.45</v>
      </c>
      <c r="D33" s="273">
        <f>(C32+C33)/2*B33</f>
        <v>117.26</v>
      </c>
      <c r="E33" s="273">
        <f>0.01+0.15+0.27</f>
        <v>0.43000000000000005</v>
      </c>
      <c r="F33" s="273">
        <f>(E32+E33)/2*B33</f>
        <v>23.540000000000003</v>
      </c>
      <c r="G33" s="273">
        <f>1.29*1.15</f>
        <v>1.4834999999999998</v>
      </c>
      <c r="H33" s="273">
        <f>(G32+G33)/2*B33</f>
        <v>65.27399999999999</v>
      </c>
      <c r="I33" s="280">
        <f>0.643*1.5</f>
        <v>0.9645</v>
      </c>
      <c r="J33" s="273">
        <f>(I32+I33)/2*B33</f>
        <v>42.438</v>
      </c>
      <c r="K33" s="273">
        <f>1*1</f>
        <v>1</v>
      </c>
      <c r="L33" s="273">
        <f>(K32+K33)/2*B33</f>
        <v>44</v>
      </c>
      <c r="M33" s="273"/>
      <c r="N33" s="273"/>
      <c r="O33" s="273">
        <v>6.54</v>
      </c>
      <c r="P33" s="286">
        <f>(O32+O33)/2*B33</f>
        <v>287.76</v>
      </c>
    </row>
    <row r="34" spans="1:16" ht="18.75" customHeight="1">
      <c r="A34" s="271" t="s">
        <v>457</v>
      </c>
      <c r="B34" s="272">
        <v>31</v>
      </c>
      <c r="C34" s="273">
        <f>0.58+2.71</f>
        <v>3.29</v>
      </c>
      <c r="D34" s="273">
        <f>(C33+C34)/2*B34</f>
        <v>88.97</v>
      </c>
      <c r="E34" s="273">
        <f>0.05+0.15+0.25</f>
        <v>0.45</v>
      </c>
      <c r="F34" s="273">
        <f>(E33+E34)/2*B34</f>
        <v>13.640000000000002</v>
      </c>
      <c r="G34" s="273">
        <f>1.29*1.15</f>
        <v>1.4834999999999998</v>
      </c>
      <c r="H34" s="273">
        <f>(G33+G34)/2*B34</f>
        <v>45.988499999999995</v>
      </c>
      <c r="I34" s="280">
        <f>0.643*1.5</f>
        <v>0.9645</v>
      </c>
      <c r="J34" s="273">
        <f>(I33+I34)/2*B34</f>
        <v>29.8995</v>
      </c>
      <c r="K34" s="273">
        <f>1*1</f>
        <v>1</v>
      </c>
      <c r="L34" s="273">
        <f>(K33+K34)/2*B34</f>
        <v>31</v>
      </c>
      <c r="M34" s="273">
        <f>1*1*6.43</f>
        <v>6.43</v>
      </c>
      <c r="N34" s="273">
        <f>M34</f>
        <v>6.43</v>
      </c>
      <c r="O34" s="273">
        <v>6.54</v>
      </c>
      <c r="P34" s="286">
        <f>(O33+O34)/2*B34</f>
        <v>202.74</v>
      </c>
    </row>
    <row r="35" spans="1:16" ht="18.75" customHeight="1">
      <c r="A35" s="277" t="s">
        <v>276</v>
      </c>
      <c r="B35" s="278">
        <f>SUM(B32:B34)</f>
        <v>75</v>
      </c>
      <c r="C35" s="279"/>
      <c r="D35" s="279">
        <f>SUM(D32:D34)</f>
        <v>206.23000000000002</v>
      </c>
      <c r="E35" s="279"/>
      <c r="F35" s="279">
        <f>SUM(F32:F34)</f>
        <v>37.18000000000001</v>
      </c>
      <c r="G35" s="282"/>
      <c r="H35" s="279">
        <f>SUM(H32:H34)</f>
        <v>111.26249999999999</v>
      </c>
      <c r="I35" s="282"/>
      <c r="J35" s="279">
        <f>SUM(J32:J34)</f>
        <v>72.3375</v>
      </c>
      <c r="K35" s="282"/>
      <c r="L35" s="279">
        <f>SUM(L32:L34)</f>
        <v>75</v>
      </c>
      <c r="M35" s="279"/>
      <c r="N35" s="279">
        <f>SUM(N32:N34)</f>
        <v>12.86</v>
      </c>
      <c r="O35" s="282"/>
      <c r="P35" s="287">
        <f>SUM(P32:P34)</f>
        <v>490.5</v>
      </c>
    </row>
    <row r="37" spans="2:16" ht="13.5">
      <c r="B37" s="269">
        <f>B9+B26</f>
        <v>386</v>
      </c>
      <c r="D37" s="283">
        <f>D9+D26</f>
        <v>1086.4850000000001</v>
      </c>
      <c r="F37" s="269">
        <f>F9+F26</f>
        <v>284.65</v>
      </c>
      <c r="H37" s="283">
        <f>H9+H26</f>
        <v>465.58325</v>
      </c>
      <c r="J37" s="283">
        <f>J9+J26</f>
        <v>302.1375</v>
      </c>
      <c r="L37" s="269">
        <f>L9+L26</f>
        <v>386</v>
      </c>
      <c r="N37" s="269">
        <f>N9+N26</f>
        <v>19.26</v>
      </c>
      <c r="P37" s="283">
        <f>P9+P26</f>
        <v>2043.335</v>
      </c>
    </row>
    <row r="38" spans="2:16" ht="13.5">
      <c r="B38" s="269">
        <f>B17+B35</f>
        <v>125</v>
      </c>
      <c r="D38" s="269">
        <f>D17+D35</f>
        <v>314.98</v>
      </c>
      <c r="F38" s="269">
        <f>F17+F35</f>
        <v>115.43</v>
      </c>
      <c r="H38" s="269">
        <f>H17+H35</f>
        <v>168.475</v>
      </c>
      <c r="J38" s="283">
        <f>J17+J35</f>
        <v>109.6875</v>
      </c>
      <c r="L38" s="269">
        <f>L17+L35</f>
        <v>125</v>
      </c>
      <c r="N38" s="269">
        <f>N17+N35</f>
        <v>23.52</v>
      </c>
      <c r="P38" s="269">
        <f>P17+P35</f>
        <v>739</v>
      </c>
    </row>
  </sheetData>
  <sheetProtection/>
  <mergeCells count="52">
    <mergeCell ref="A1:P1"/>
    <mergeCell ref="C2:F2"/>
    <mergeCell ref="G2:N2"/>
    <mergeCell ref="O2:P2"/>
    <mergeCell ref="C3:D3"/>
    <mergeCell ref="E3:F3"/>
    <mergeCell ref="G3:H3"/>
    <mergeCell ref="I3:J3"/>
    <mergeCell ref="K3:L3"/>
    <mergeCell ref="M3:N3"/>
    <mergeCell ref="O3:P3"/>
    <mergeCell ref="A11:P11"/>
    <mergeCell ref="C12:F12"/>
    <mergeCell ref="G12:L12"/>
    <mergeCell ref="O12:P12"/>
    <mergeCell ref="C13:D13"/>
    <mergeCell ref="E13:F13"/>
    <mergeCell ref="G13:H13"/>
    <mergeCell ref="I13:J13"/>
    <mergeCell ref="K13:L13"/>
    <mergeCell ref="M13:N13"/>
    <mergeCell ref="O13:P13"/>
    <mergeCell ref="A19:P19"/>
    <mergeCell ref="C20:F20"/>
    <mergeCell ref="G20:L20"/>
    <mergeCell ref="O20:P20"/>
    <mergeCell ref="C21:D21"/>
    <mergeCell ref="E21:F21"/>
    <mergeCell ref="G21:H21"/>
    <mergeCell ref="I21:J21"/>
    <mergeCell ref="K21:L21"/>
    <mergeCell ref="M21:N21"/>
    <mergeCell ref="O21:P21"/>
    <mergeCell ref="A28:P28"/>
    <mergeCell ref="C29:F29"/>
    <mergeCell ref="G29:L29"/>
    <mergeCell ref="O29:P29"/>
    <mergeCell ref="C30:D30"/>
    <mergeCell ref="E30:F30"/>
    <mergeCell ref="G30:H30"/>
    <mergeCell ref="I30:J30"/>
    <mergeCell ref="K30:L30"/>
    <mergeCell ref="M30:N30"/>
    <mergeCell ref="O30:P30"/>
    <mergeCell ref="A2:A4"/>
    <mergeCell ref="A12:A14"/>
    <mergeCell ref="A20:A22"/>
    <mergeCell ref="A29:A31"/>
    <mergeCell ref="B2:B4"/>
    <mergeCell ref="B12:B14"/>
    <mergeCell ref="B20:B22"/>
    <mergeCell ref="B29:B31"/>
  </mergeCells>
  <printOptions/>
  <pageMargins left="1.9685039370078743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&amp;C-8-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/>
  </sheetPr>
  <dimension ref="A1:P38"/>
  <sheetViews>
    <sheetView workbookViewId="0" topLeftCell="A28">
      <selection activeCell="Q17" sqref="Q17"/>
    </sheetView>
  </sheetViews>
  <sheetFormatPr defaultColWidth="8.125" defaultRowHeight="14.25"/>
  <cols>
    <col min="1" max="1" width="6.25390625" style="246" customWidth="1"/>
    <col min="2" max="2" width="9.375" style="246" customWidth="1"/>
    <col min="3" max="3" width="8.25390625" style="246" customWidth="1"/>
    <col min="4" max="4" width="8.375" style="246" customWidth="1"/>
    <col min="5" max="5" width="8.75390625" style="246" customWidth="1"/>
    <col min="6" max="15" width="8.125" style="246" customWidth="1"/>
    <col min="16" max="16" width="9.75390625" style="246" customWidth="1"/>
    <col min="17" max="16384" width="8.125" style="246" customWidth="1"/>
  </cols>
  <sheetData>
    <row r="1" spans="1:16" ht="41.25" customHeight="1">
      <c r="A1" s="481" t="s">
        <v>425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1:16" ht="18.75" customHeight="1">
      <c r="A2" s="476" t="s">
        <v>426</v>
      </c>
      <c r="B2" s="478" t="s">
        <v>427</v>
      </c>
      <c r="C2" s="478" t="s">
        <v>428</v>
      </c>
      <c r="D2" s="478"/>
      <c r="E2" s="478"/>
      <c r="F2" s="478"/>
      <c r="G2" s="483" t="s">
        <v>429</v>
      </c>
      <c r="H2" s="484"/>
      <c r="I2" s="484"/>
      <c r="J2" s="484"/>
      <c r="K2" s="484"/>
      <c r="L2" s="484"/>
      <c r="M2" s="484"/>
      <c r="N2" s="485"/>
      <c r="O2" s="478" t="s">
        <v>430</v>
      </c>
      <c r="P2" s="482"/>
    </row>
    <row r="3" spans="1:16" ht="18.75" customHeight="1">
      <c r="A3" s="477"/>
      <c r="B3" s="474"/>
      <c r="C3" s="474" t="s">
        <v>431</v>
      </c>
      <c r="D3" s="474"/>
      <c r="E3" s="474" t="s">
        <v>434</v>
      </c>
      <c r="F3" s="474"/>
      <c r="G3" s="479" t="s">
        <v>246</v>
      </c>
      <c r="H3" s="480"/>
      <c r="I3" s="474" t="s">
        <v>88</v>
      </c>
      <c r="J3" s="474"/>
      <c r="K3" s="474" t="s">
        <v>435</v>
      </c>
      <c r="L3" s="474"/>
      <c r="M3" s="474" t="s">
        <v>436</v>
      </c>
      <c r="N3" s="474"/>
      <c r="O3" s="474" t="s">
        <v>89</v>
      </c>
      <c r="P3" s="475"/>
    </row>
    <row r="4" spans="1:16" ht="27.75" customHeight="1">
      <c r="A4" s="477"/>
      <c r="B4" s="474"/>
      <c r="C4" s="249" t="s">
        <v>437</v>
      </c>
      <c r="D4" s="249" t="s">
        <v>428</v>
      </c>
      <c r="E4" s="249" t="s">
        <v>437</v>
      </c>
      <c r="F4" s="249" t="s">
        <v>428</v>
      </c>
      <c r="G4" s="249" t="s">
        <v>437</v>
      </c>
      <c r="H4" s="249" t="s">
        <v>438</v>
      </c>
      <c r="I4" s="249" t="s">
        <v>437</v>
      </c>
      <c r="J4" s="249" t="s">
        <v>438</v>
      </c>
      <c r="K4" s="249" t="s">
        <v>437</v>
      </c>
      <c r="L4" s="249" t="s">
        <v>438</v>
      </c>
      <c r="M4" s="249" t="s">
        <v>438</v>
      </c>
      <c r="N4" s="249" t="s">
        <v>439</v>
      </c>
      <c r="O4" s="249" t="s">
        <v>440</v>
      </c>
      <c r="P4" s="263" t="s">
        <v>441</v>
      </c>
    </row>
    <row r="5" spans="1:16" ht="18.75" customHeight="1">
      <c r="A5" s="248" t="s">
        <v>442</v>
      </c>
      <c r="B5" s="249">
        <v>0</v>
      </c>
      <c r="C5" s="250">
        <f>1.87+0.34</f>
        <v>2.21</v>
      </c>
      <c r="D5" s="250"/>
      <c r="E5" s="250">
        <f>0.31+0.15+0.22+0.02</f>
        <v>0.7</v>
      </c>
      <c r="F5" s="250"/>
      <c r="G5" s="250">
        <v>0.77</v>
      </c>
      <c r="H5" s="251"/>
      <c r="I5" s="250">
        <v>0.37</v>
      </c>
      <c r="J5" s="251"/>
      <c r="K5" s="250">
        <f>1*1</f>
        <v>1</v>
      </c>
      <c r="L5" s="251"/>
      <c r="M5" s="250">
        <f>1*1*3.85</f>
        <v>3.85</v>
      </c>
      <c r="N5" s="250">
        <f>M5</f>
        <v>3.85</v>
      </c>
      <c r="O5" s="250">
        <v>3.96</v>
      </c>
      <c r="P5" s="264"/>
    </row>
    <row r="6" spans="1:16" ht="18.75" customHeight="1">
      <c r="A6" s="248" t="s">
        <v>443</v>
      </c>
      <c r="B6" s="249">
        <v>40</v>
      </c>
      <c r="C6" s="250">
        <f>2.34+0.27</f>
        <v>2.61</v>
      </c>
      <c r="D6" s="250">
        <f>(C5+C6)/2*B6</f>
        <v>96.4</v>
      </c>
      <c r="E6" s="250">
        <f>0.33+0.15+0.08+0.02</f>
        <v>0.58</v>
      </c>
      <c r="F6" s="250">
        <f>(E5+E6)/2*B6</f>
        <v>25.599999999999994</v>
      </c>
      <c r="G6" s="250">
        <f>G5</f>
        <v>0.77</v>
      </c>
      <c r="H6" s="250">
        <f>(G5+G6)/2*B6</f>
        <v>30.8</v>
      </c>
      <c r="I6" s="250">
        <v>0.37</v>
      </c>
      <c r="J6" s="250">
        <f>(I5+I6)/2*B6</f>
        <v>14.8</v>
      </c>
      <c r="K6" s="250">
        <f>1*1</f>
        <v>1</v>
      </c>
      <c r="L6" s="250">
        <f>(K5+K6)/2*B6</f>
        <v>40</v>
      </c>
      <c r="M6" s="250"/>
      <c r="N6" s="250"/>
      <c r="O6" s="250">
        <v>3.96</v>
      </c>
      <c r="P6" s="265">
        <f>(O5+O6)/2*B6</f>
        <v>158.4</v>
      </c>
    </row>
    <row r="7" spans="1:16" ht="18.75" customHeight="1">
      <c r="A7" s="248" t="s">
        <v>444</v>
      </c>
      <c r="B7" s="249">
        <v>75</v>
      </c>
      <c r="C7" s="250">
        <f>1.72+1.36</f>
        <v>3.08</v>
      </c>
      <c r="D7" s="250">
        <f>(C6+C7)/2*B7</f>
        <v>213.37499999999997</v>
      </c>
      <c r="E7" s="250">
        <f>0.28+0.15+0.04</f>
        <v>0.47000000000000003</v>
      </c>
      <c r="F7" s="250">
        <f>(E6+E7)/2*B7</f>
        <v>39.375</v>
      </c>
      <c r="G7" s="250">
        <v>1</v>
      </c>
      <c r="H7" s="250">
        <f>(G6+G7)/2*B7</f>
        <v>66.375</v>
      </c>
      <c r="I7" s="250">
        <v>0.5</v>
      </c>
      <c r="J7" s="250">
        <f>(I6+I7)/2*B7</f>
        <v>32.625</v>
      </c>
      <c r="K7" s="250">
        <f>1*1</f>
        <v>1</v>
      </c>
      <c r="L7" s="250">
        <f>(K6+K7)/2*B7</f>
        <v>75</v>
      </c>
      <c r="M7" s="250"/>
      <c r="N7" s="250"/>
      <c r="O7" s="250">
        <v>4.97</v>
      </c>
      <c r="P7" s="265">
        <f>(O6+O7)/2*B7</f>
        <v>334.875</v>
      </c>
    </row>
    <row r="8" spans="1:16" ht="18.75" customHeight="1">
      <c r="A8" s="252" t="s">
        <v>445</v>
      </c>
      <c r="B8" s="253">
        <v>25</v>
      </c>
      <c r="C8" s="250">
        <v>2.94</v>
      </c>
      <c r="D8" s="250">
        <f>(C7+C8)/2*B8</f>
        <v>75.25</v>
      </c>
      <c r="E8" s="250">
        <f>0.27+0.15+0.02</f>
        <v>0.44000000000000006</v>
      </c>
      <c r="F8" s="250">
        <f>(E7+E8)/2*B8</f>
        <v>11.375000000000002</v>
      </c>
      <c r="G8" s="250">
        <v>1</v>
      </c>
      <c r="H8" s="250">
        <f>(G7+G8)/2*B8</f>
        <v>25</v>
      </c>
      <c r="I8" s="250">
        <v>0.5</v>
      </c>
      <c r="J8" s="250">
        <f>(I7+I8)/2*B8</f>
        <v>12.5</v>
      </c>
      <c r="K8" s="250">
        <f>1*1</f>
        <v>1</v>
      </c>
      <c r="L8" s="250">
        <f>(K7+K8)/2*B8</f>
        <v>25</v>
      </c>
      <c r="M8" s="250">
        <f>1*1*3.85</f>
        <v>3.85</v>
      </c>
      <c r="N8" s="250">
        <f>M8</f>
        <v>3.85</v>
      </c>
      <c r="O8" s="250">
        <v>4.97</v>
      </c>
      <c r="P8" s="265">
        <f>(O7+O8)/2*B8</f>
        <v>124.25</v>
      </c>
    </row>
    <row r="9" spans="1:16" ht="18.75" customHeight="1">
      <c r="A9" s="254" t="s">
        <v>276</v>
      </c>
      <c r="B9" s="255">
        <f>SUM(B5:B8)</f>
        <v>140</v>
      </c>
      <c r="C9" s="256"/>
      <c r="D9" s="256">
        <f>SUM(D5:D8)</f>
        <v>385.025</v>
      </c>
      <c r="E9" s="256"/>
      <c r="F9" s="256">
        <f aca="true" t="shared" si="0" ref="F9:N9">SUM(F5:F8)</f>
        <v>76.35</v>
      </c>
      <c r="G9" s="256"/>
      <c r="H9" s="256">
        <f t="shared" si="0"/>
        <v>122.175</v>
      </c>
      <c r="I9" s="256"/>
      <c r="J9" s="256">
        <f t="shared" si="0"/>
        <v>59.925</v>
      </c>
      <c r="K9" s="256"/>
      <c r="L9" s="256">
        <f t="shared" si="0"/>
        <v>140</v>
      </c>
      <c r="M9" s="256"/>
      <c r="N9" s="256">
        <f t="shared" si="0"/>
        <v>7.7</v>
      </c>
      <c r="O9" s="260"/>
      <c r="P9" s="266">
        <f>SUM(P5:P8)</f>
        <v>617.525</v>
      </c>
    </row>
    <row r="11" spans="1:16" ht="25.5">
      <c r="A11" s="481" t="s">
        <v>459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</row>
    <row r="12" spans="1:16" ht="13.5">
      <c r="A12" s="476" t="s">
        <v>426</v>
      </c>
      <c r="B12" s="478" t="s">
        <v>427</v>
      </c>
      <c r="C12" s="478" t="s">
        <v>428</v>
      </c>
      <c r="D12" s="478"/>
      <c r="E12" s="478"/>
      <c r="F12" s="478"/>
      <c r="G12" s="478" t="s">
        <v>429</v>
      </c>
      <c r="H12" s="478"/>
      <c r="I12" s="478"/>
      <c r="J12" s="478"/>
      <c r="K12" s="478"/>
      <c r="L12" s="478"/>
      <c r="M12" s="247"/>
      <c r="N12" s="247"/>
      <c r="O12" s="478" t="s">
        <v>430</v>
      </c>
      <c r="P12" s="482"/>
    </row>
    <row r="13" spans="1:16" ht="13.5">
      <c r="A13" s="477"/>
      <c r="B13" s="474"/>
      <c r="C13" s="474" t="s">
        <v>431</v>
      </c>
      <c r="D13" s="474"/>
      <c r="E13" s="474" t="s">
        <v>434</v>
      </c>
      <c r="F13" s="474"/>
      <c r="G13" s="479" t="s">
        <v>246</v>
      </c>
      <c r="H13" s="480"/>
      <c r="I13" s="474" t="s">
        <v>88</v>
      </c>
      <c r="J13" s="474"/>
      <c r="K13" s="474" t="s">
        <v>435</v>
      </c>
      <c r="L13" s="474"/>
      <c r="M13" s="474" t="s">
        <v>436</v>
      </c>
      <c r="N13" s="474"/>
      <c r="O13" s="474" t="s">
        <v>89</v>
      </c>
      <c r="P13" s="475"/>
    </row>
    <row r="14" spans="1:16" ht="26.25">
      <c r="A14" s="477"/>
      <c r="B14" s="474"/>
      <c r="C14" s="249" t="s">
        <v>437</v>
      </c>
      <c r="D14" s="249" t="s">
        <v>428</v>
      </c>
      <c r="E14" s="249" t="s">
        <v>437</v>
      </c>
      <c r="F14" s="249" t="s">
        <v>428</v>
      </c>
      <c r="G14" s="249" t="s">
        <v>437</v>
      </c>
      <c r="H14" s="249" t="s">
        <v>438</v>
      </c>
      <c r="I14" s="249" t="s">
        <v>437</v>
      </c>
      <c r="J14" s="249" t="s">
        <v>438</v>
      </c>
      <c r="K14" s="249" t="s">
        <v>437</v>
      </c>
      <c r="L14" s="249" t="s">
        <v>438</v>
      </c>
      <c r="M14" s="249" t="s">
        <v>438</v>
      </c>
      <c r="N14" s="249" t="s">
        <v>439</v>
      </c>
      <c r="O14" s="249" t="s">
        <v>440</v>
      </c>
      <c r="P14" s="263" t="s">
        <v>441</v>
      </c>
    </row>
    <row r="15" spans="1:16" ht="18.75" customHeight="1">
      <c r="A15" s="248" t="s">
        <v>447</v>
      </c>
      <c r="B15" s="249">
        <v>0</v>
      </c>
      <c r="C15" s="250">
        <v>2.26</v>
      </c>
      <c r="D15" s="250"/>
      <c r="E15" s="257">
        <f>0.02+1.16+0.15+0.27</f>
        <v>1.5999999999999999</v>
      </c>
      <c r="F15" s="250"/>
      <c r="G15" s="258">
        <v>0.995</v>
      </c>
      <c r="H15" s="251"/>
      <c r="I15" s="258">
        <v>0.498</v>
      </c>
      <c r="J15" s="251"/>
      <c r="K15" s="250">
        <f>1*1</f>
        <v>1</v>
      </c>
      <c r="L15" s="251"/>
      <c r="M15" s="250">
        <f>1*1*5.33</f>
        <v>5.33</v>
      </c>
      <c r="N15" s="250">
        <f>M15</f>
        <v>5.33</v>
      </c>
      <c r="O15" s="250">
        <v>4.97</v>
      </c>
      <c r="P15" s="264"/>
    </row>
    <row r="16" spans="1:16" ht="18.75" customHeight="1">
      <c r="A16" s="252" t="s">
        <v>448</v>
      </c>
      <c r="B16" s="253">
        <v>50</v>
      </c>
      <c r="C16" s="250">
        <v>2.09</v>
      </c>
      <c r="D16" s="250">
        <f>(C15+C16)/2*B16</f>
        <v>108.74999999999999</v>
      </c>
      <c r="E16" s="257">
        <f>0.02+1.08+0.15+0.28</f>
        <v>1.53</v>
      </c>
      <c r="F16" s="250">
        <f>(E15+E16)/2*B16</f>
        <v>78.25</v>
      </c>
      <c r="G16" s="258">
        <v>0.995</v>
      </c>
      <c r="H16" s="250">
        <f>(G15+G16)/2*B16</f>
        <v>49.75</v>
      </c>
      <c r="I16" s="258">
        <v>0.498</v>
      </c>
      <c r="J16" s="250">
        <f>(I15+I16)/2*B16</f>
        <v>24.9</v>
      </c>
      <c r="K16" s="250">
        <f>1*1</f>
        <v>1</v>
      </c>
      <c r="L16" s="250">
        <f>(K15+K16)/2*B16</f>
        <v>50</v>
      </c>
      <c r="M16" s="250">
        <f>1*1*5.33</f>
        <v>5.33</v>
      </c>
      <c r="N16" s="250">
        <f>M16</f>
        <v>5.33</v>
      </c>
      <c r="O16" s="250">
        <v>4.97</v>
      </c>
      <c r="P16" s="265">
        <f>(O15+O16)/2*B16</f>
        <v>248.5</v>
      </c>
    </row>
    <row r="17" spans="1:16" ht="18.75" customHeight="1">
      <c r="A17" s="254" t="s">
        <v>276</v>
      </c>
      <c r="B17" s="255">
        <f>SUM(B15:B16)</f>
        <v>50</v>
      </c>
      <c r="C17" s="259"/>
      <c r="D17" s="259">
        <f>SUM(D15:D16)</f>
        <v>108.74999999999999</v>
      </c>
      <c r="E17" s="259"/>
      <c r="F17" s="259">
        <f>SUM(F15:F16)</f>
        <v>78.25</v>
      </c>
      <c r="G17" s="259"/>
      <c r="H17" s="259">
        <f>SUM(H15:H16)</f>
        <v>49.75</v>
      </c>
      <c r="I17" s="259"/>
      <c r="J17" s="259">
        <f>SUM(J15:J16)</f>
        <v>24.9</v>
      </c>
      <c r="K17" s="259"/>
      <c r="L17" s="259">
        <f>SUM(L15:L16)</f>
        <v>50</v>
      </c>
      <c r="M17" s="259"/>
      <c r="N17" s="259">
        <f>SUM(N15:N16)</f>
        <v>10.66</v>
      </c>
      <c r="O17" s="267"/>
      <c r="P17" s="268">
        <f>SUM(P15:P16)</f>
        <v>248.5</v>
      </c>
    </row>
    <row r="19" spans="1:16" ht="25.5">
      <c r="A19" s="481" t="s">
        <v>449</v>
      </c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</row>
    <row r="20" spans="1:16" ht="18.75" customHeight="1">
      <c r="A20" s="476" t="s">
        <v>426</v>
      </c>
      <c r="B20" s="478" t="s">
        <v>427</v>
      </c>
      <c r="C20" s="478" t="s">
        <v>428</v>
      </c>
      <c r="D20" s="478"/>
      <c r="E20" s="478"/>
      <c r="F20" s="478"/>
      <c r="G20" s="478" t="s">
        <v>429</v>
      </c>
      <c r="H20" s="478"/>
      <c r="I20" s="478"/>
      <c r="J20" s="478"/>
      <c r="K20" s="478"/>
      <c r="L20" s="478"/>
      <c r="M20" s="247"/>
      <c r="N20" s="247"/>
      <c r="O20" s="478" t="s">
        <v>430</v>
      </c>
      <c r="P20" s="482"/>
    </row>
    <row r="21" spans="1:16" ht="18.75" customHeight="1">
      <c r="A21" s="477"/>
      <c r="B21" s="474"/>
      <c r="C21" s="474" t="s">
        <v>431</v>
      </c>
      <c r="D21" s="474"/>
      <c r="E21" s="474" t="s">
        <v>434</v>
      </c>
      <c r="F21" s="474"/>
      <c r="G21" s="479" t="s">
        <v>246</v>
      </c>
      <c r="H21" s="480"/>
      <c r="I21" s="474" t="s">
        <v>88</v>
      </c>
      <c r="J21" s="474"/>
      <c r="K21" s="474" t="s">
        <v>435</v>
      </c>
      <c r="L21" s="474"/>
      <c r="M21" s="474" t="s">
        <v>436</v>
      </c>
      <c r="N21" s="474"/>
      <c r="O21" s="474" t="s">
        <v>89</v>
      </c>
      <c r="P21" s="475"/>
    </row>
    <row r="22" spans="1:16" ht="27.75" customHeight="1">
      <c r="A22" s="477"/>
      <c r="B22" s="474"/>
      <c r="C22" s="249" t="s">
        <v>437</v>
      </c>
      <c r="D22" s="249" t="s">
        <v>428</v>
      </c>
      <c r="E22" s="249" t="s">
        <v>437</v>
      </c>
      <c r="F22" s="249" t="s">
        <v>428</v>
      </c>
      <c r="G22" s="249" t="s">
        <v>437</v>
      </c>
      <c r="H22" s="249" t="s">
        <v>438</v>
      </c>
      <c r="I22" s="249" t="s">
        <v>437</v>
      </c>
      <c r="J22" s="249" t="s">
        <v>438</v>
      </c>
      <c r="K22" s="249" t="s">
        <v>437</v>
      </c>
      <c r="L22" s="249" t="s">
        <v>438</v>
      </c>
      <c r="M22" s="249" t="s">
        <v>438</v>
      </c>
      <c r="N22" s="249" t="s">
        <v>439</v>
      </c>
      <c r="O22" s="249" t="s">
        <v>440</v>
      </c>
      <c r="P22" s="263" t="s">
        <v>441</v>
      </c>
    </row>
    <row r="23" spans="1:16" ht="18.75" customHeight="1">
      <c r="A23" s="248" t="s">
        <v>450</v>
      </c>
      <c r="B23" s="249">
        <v>0</v>
      </c>
      <c r="C23" s="250">
        <f>1.55+0.98</f>
        <v>2.5300000000000002</v>
      </c>
      <c r="D23" s="250"/>
      <c r="E23" s="250">
        <f>0.26+0.15+0.36+0.02</f>
        <v>0.79</v>
      </c>
      <c r="F23" s="250"/>
      <c r="G23" s="250">
        <v>1.07</v>
      </c>
      <c r="H23" s="251"/>
      <c r="I23" s="250">
        <v>0.53</v>
      </c>
      <c r="J23" s="251"/>
      <c r="K23" s="250">
        <f>1*1</f>
        <v>1</v>
      </c>
      <c r="L23" s="251"/>
      <c r="M23" s="250">
        <f>1*1*5.33</f>
        <v>5.33</v>
      </c>
      <c r="N23" s="250">
        <f>M23</f>
        <v>5.33</v>
      </c>
      <c r="O23" s="250">
        <v>5.44</v>
      </c>
      <c r="P23" s="264"/>
    </row>
    <row r="24" spans="1:16" ht="18.75" customHeight="1">
      <c r="A24" s="248" t="s">
        <v>451</v>
      </c>
      <c r="B24" s="249">
        <f>633-419</f>
        <v>214</v>
      </c>
      <c r="C24" s="250">
        <f>1.41+1.72</f>
        <v>3.13</v>
      </c>
      <c r="D24" s="250">
        <f>(C23+C24)/2*B24</f>
        <v>605.62</v>
      </c>
      <c r="E24" s="250">
        <f>0.23+0.64+0.04</f>
        <v>0.91</v>
      </c>
      <c r="F24" s="250">
        <f>(E23+E24)/2*B24</f>
        <v>181.9</v>
      </c>
      <c r="G24" s="250">
        <v>1.21</v>
      </c>
      <c r="H24" s="250">
        <f>(G23+G24)/2*B24</f>
        <v>243.96000000000004</v>
      </c>
      <c r="I24" s="250">
        <v>0.61</v>
      </c>
      <c r="J24" s="250">
        <f>(I23+I24)/2*B24</f>
        <v>121.98000000000002</v>
      </c>
      <c r="K24" s="250">
        <f>1*1</f>
        <v>1</v>
      </c>
      <c r="L24" s="250">
        <f>(K23+K24)/2*B24</f>
        <v>214</v>
      </c>
      <c r="M24" s="250"/>
      <c r="N24" s="250"/>
      <c r="O24" s="250">
        <v>6.07</v>
      </c>
      <c r="P24" s="265">
        <f>(O23+O24)/2*B24</f>
        <v>1231.5700000000002</v>
      </c>
    </row>
    <row r="25" spans="1:16" ht="18.75" customHeight="1">
      <c r="A25" s="252" t="s">
        <v>452</v>
      </c>
      <c r="B25" s="253">
        <v>32</v>
      </c>
      <c r="C25" s="250">
        <f>1.5+1.36</f>
        <v>2.8600000000000003</v>
      </c>
      <c r="D25" s="250">
        <f>(C24+C25)/2*B25</f>
        <v>95.84</v>
      </c>
      <c r="E25" s="250">
        <v>0.74</v>
      </c>
      <c r="F25" s="250">
        <f>(E24+E25)/2*B25</f>
        <v>26.4</v>
      </c>
      <c r="G25" s="250">
        <v>1.21</v>
      </c>
      <c r="H25" s="250">
        <f>(G24+G25)/2*B25</f>
        <v>38.72</v>
      </c>
      <c r="I25" s="250">
        <v>0.61</v>
      </c>
      <c r="J25" s="250">
        <f>(I24+I25)/2*B25</f>
        <v>19.52</v>
      </c>
      <c r="K25" s="250">
        <f>1*1</f>
        <v>1</v>
      </c>
      <c r="L25" s="250">
        <f>(K24+K25)/2*B25</f>
        <v>32</v>
      </c>
      <c r="M25" s="250">
        <f>1*1*6.23</f>
        <v>6.23</v>
      </c>
      <c r="N25" s="250">
        <f>M25</f>
        <v>6.23</v>
      </c>
      <c r="O25" s="250">
        <v>6.07</v>
      </c>
      <c r="P25" s="265">
        <f>(O24+O25)/2*B25</f>
        <v>194.24</v>
      </c>
    </row>
    <row r="26" spans="1:16" ht="18.75" customHeight="1">
      <c r="A26" s="254" t="s">
        <v>276</v>
      </c>
      <c r="B26" s="255">
        <f>SUM(B23:B25)</f>
        <v>246</v>
      </c>
      <c r="C26" s="255"/>
      <c r="D26" s="255">
        <f aca="true" t="shared" si="1" ref="D26:N26">SUM(D23:D25)</f>
        <v>701.46</v>
      </c>
      <c r="E26" s="255"/>
      <c r="F26" s="255">
        <f t="shared" si="1"/>
        <v>208.3</v>
      </c>
      <c r="G26" s="255"/>
      <c r="H26" s="255">
        <f t="shared" si="1"/>
        <v>282.68000000000006</v>
      </c>
      <c r="I26" s="255"/>
      <c r="J26" s="255">
        <f t="shared" si="1"/>
        <v>141.50000000000003</v>
      </c>
      <c r="K26" s="255"/>
      <c r="L26" s="255">
        <f t="shared" si="1"/>
        <v>246</v>
      </c>
      <c r="M26" s="255"/>
      <c r="N26" s="255">
        <f t="shared" si="1"/>
        <v>11.56</v>
      </c>
      <c r="O26" s="260"/>
      <c r="P26" s="266">
        <f>SUM(P23:P25)</f>
        <v>1425.8100000000002</v>
      </c>
    </row>
    <row r="28" spans="1:16" ht="25.5">
      <c r="A28" s="481" t="s">
        <v>458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</row>
    <row r="29" spans="1:16" ht="18.75" customHeight="1">
      <c r="A29" s="476" t="s">
        <v>426</v>
      </c>
      <c r="B29" s="478" t="s">
        <v>427</v>
      </c>
      <c r="C29" s="478" t="s">
        <v>428</v>
      </c>
      <c r="D29" s="478"/>
      <c r="E29" s="478"/>
      <c r="F29" s="478"/>
      <c r="G29" s="478" t="s">
        <v>429</v>
      </c>
      <c r="H29" s="478"/>
      <c r="I29" s="478"/>
      <c r="J29" s="478"/>
      <c r="K29" s="478"/>
      <c r="L29" s="478"/>
      <c r="M29" s="247"/>
      <c r="N29" s="247"/>
      <c r="O29" s="478" t="s">
        <v>430</v>
      </c>
      <c r="P29" s="482"/>
    </row>
    <row r="30" spans="1:16" ht="18.75" customHeight="1">
      <c r="A30" s="477"/>
      <c r="B30" s="474"/>
      <c r="C30" s="474" t="s">
        <v>431</v>
      </c>
      <c r="D30" s="474"/>
      <c r="E30" s="474" t="s">
        <v>434</v>
      </c>
      <c r="F30" s="474"/>
      <c r="G30" s="479" t="s">
        <v>246</v>
      </c>
      <c r="H30" s="480"/>
      <c r="I30" s="474" t="s">
        <v>88</v>
      </c>
      <c r="J30" s="474"/>
      <c r="K30" s="474" t="s">
        <v>435</v>
      </c>
      <c r="L30" s="474"/>
      <c r="M30" s="479" t="s">
        <v>454</v>
      </c>
      <c r="N30" s="480"/>
      <c r="O30" s="474" t="s">
        <v>89</v>
      </c>
      <c r="P30" s="475"/>
    </row>
    <row r="31" spans="1:16" ht="26.25" customHeight="1">
      <c r="A31" s="477"/>
      <c r="B31" s="474"/>
      <c r="C31" s="249" t="s">
        <v>437</v>
      </c>
      <c r="D31" s="249" t="s">
        <v>428</v>
      </c>
      <c r="E31" s="249" t="s">
        <v>437</v>
      </c>
      <c r="F31" s="249" t="s">
        <v>428</v>
      </c>
      <c r="G31" s="249" t="s">
        <v>437</v>
      </c>
      <c r="H31" s="249" t="s">
        <v>438</v>
      </c>
      <c r="I31" s="249" t="s">
        <v>437</v>
      </c>
      <c r="J31" s="249" t="s">
        <v>438</v>
      </c>
      <c r="K31" s="249" t="s">
        <v>437</v>
      </c>
      <c r="L31" s="249" t="s">
        <v>438</v>
      </c>
      <c r="M31" s="249" t="s">
        <v>438</v>
      </c>
      <c r="N31" s="249" t="s">
        <v>439</v>
      </c>
      <c r="O31" s="249" t="s">
        <v>440</v>
      </c>
      <c r="P31" s="263" t="s">
        <v>441</v>
      </c>
    </row>
    <row r="32" spans="1:16" ht="18.75" customHeight="1">
      <c r="A32" s="248" t="s">
        <v>455</v>
      </c>
      <c r="B32" s="249">
        <v>0</v>
      </c>
      <c r="C32" s="250">
        <f>0.25+2.63</f>
        <v>2.88</v>
      </c>
      <c r="D32" s="250"/>
      <c r="E32" s="250">
        <f>0.1+0.03+0.01+0.15+0.35</f>
        <v>0.64</v>
      </c>
      <c r="F32" s="250"/>
      <c r="G32" s="250">
        <v>1.29</v>
      </c>
      <c r="H32" s="251"/>
      <c r="I32" s="258">
        <v>0.643</v>
      </c>
      <c r="J32" s="251"/>
      <c r="K32" s="250">
        <f>1*1</f>
        <v>1</v>
      </c>
      <c r="L32" s="251"/>
      <c r="M32" s="250">
        <f>1*1*6.43</f>
        <v>6.43</v>
      </c>
      <c r="N32" s="250">
        <f>M32</f>
        <v>6.43</v>
      </c>
      <c r="O32" s="250">
        <v>6.54</v>
      </c>
      <c r="P32" s="264"/>
    </row>
    <row r="33" spans="1:16" ht="18.75" customHeight="1">
      <c r="A33" s="248" t="s">
        <v>456</v>
      </c>
      <c r="B33" s="249">
        <v>44</v>
      </c>
      <c r="C33" s="250">
        <v>2.45</v>
      </c>
      <c r="D33" s="250">
        <f>(C32+C33)/2*B33</f>
        <v>117.26</v>
      </c>
      <c r="E33" s="250">
        <f>0.01+0.15+0.27</f>
        <v>0.43000000000000005</v>
      </c>
      <c r="F33" s="250">
        <f>(E32+E33)/2*B33</f>
        <v>23.540000000000003</v>
      </c>
      <c r="G33" s="250">
        <v>1.29</v>
      </c>
      <c r="H33" s="250">
        <f>(G32+G33)/2*B33</f>
        <v>56.760000000000005</v>
      </c>
      <c r="I33" s="258">
        <v>0.643</v>
      </c>
      <c r="J33" s="250">
        <f>(I32+I33)/2*B33</f>
        <v>28.292</v>
      </c>
      <c r="K33" s="250">
        <f>1*1</f>
        <v>1</v>
      </c>
      <c r="L33" s="250">
        <f>(K32+K33)/2*B33</f>
        <v>44</v>
      </c>
      <c r="M33" s="250"/>
      <c r="N33" s="250"/>
      <c r="O33" s="250">
        <v>6.54</v>
      </c>
      <c r="P33" s="265">
        <f>(O32+O33)/2*B33</f>
        <v>287.76</v>
      </c>
    </row>
    <row r="34" spans="1:16" ht="18.75" customHeight="1">
      <c r="A34" s="248" t="s">
        <v>457</v>
      </c>
      <c r="B34" s="249">
        <v>31</v>
      </c>
      <c r="C34" s="250">
        <f>0.58+2.71</f>
        <v>3.29</v>
      </c>
      <c r="D34" s="250">
        <f>(C33+C34)/2*B34</f>
        <v>88.97</v>
      </c>
      <c r="E34" s="250">
        <f>0.05+0.15+0.25</f>
        <v>0.45</v>
      </c>
      <c r="F34" s="250">
        <f>(E33+E34)/2*B34</f>
        <v>13.640000000000002</v>
      </c>
      <c r="G34" s="250">
        <v>1.29</v>
      </c>
      <c r="H34" s="250">
        <f>(G33+G34)/2*B34</f>
        <v>39.99</v>
      </c>
      <c r="I34" s="258">
        <v>0.643</v>
      </c>
      <c r="J34" s="250">
        <f>(I33+I34)/2*B34</f>
        <v>19.933</v>
      </c>
      <c r="K34" s="250">
        <f>1*1</f>
        <v>1</v>
      </c>
      <c r="L34" s="250">
        <f>(K33+K34)/2*B34</f>
        <v>31</v>
      </c>
      <c r="M34" s="250">
        <f>1*1*6.43</f>
        <v>6.43</v>
      </c>
      <c r="N34" s="250">
        <f>M34</f>
        <v>6.43</v>
      </c>
      <c r="O34" s="250">
        <v>6.54</v>
      </c>
      <c r="P34" s="265">
        <f>(O33+O34)/2*B34</f>
        <v>202.74</v>
      </c>
    </row>
    <row r="35" spans="1:16" ht="18.75" customHeight="1">
      <c r="A35" s="254" t="s">
        <v>276</v>
      </c>
      <c r="B35" s="255">
        <f>SUM(B32:B34)</f>
        <v>75</v>
      </c>
      <c r="C35" s="256"/>
      <c r="D35" s="256">
        <f>SUM(D32:D34)</f>
        <v>206.23000000000002</v>
      </c>
      <c r="E35" s="256"/>
      <c r="F35" s="256">
        <f>SUM(F32:F34)</f>
        <v>37.18000000000001</v>
      </c>
      <c r="G35" s="260"/>
      <c r="H35" s="256">
        <f>SUM(H32:H34)</f>
        <v>96.75</v>
      </c>
      <c r="I35" s="260"/>
      <c r="J35" s="256">
        <f>SUM(J32:J34)</f>
        <v>48.225</v>
      </c>
      <c r="K35" s="260"/>
      <c r="L35" s="256">
        <f>SUM(L32:L34)</f>
        <v>75</v>
      </c>
      <c r="M35" s="256"/>
      <c r="N35" s="256">
        <f>SUM(N32:N34)</f>
        <v>12.86</v>
      </c>
      <c r="O35" s="260"/>
      <c r="P35" s="266">
        <f>SUM(P32:P34)</f>
        <v>490.5</v>
      </c>
    </row>
    <row r="36" spans="2:16" ht="13.5">
      <c r="B36" s="261">
        <f>B9+B26</f>
        <v>386</v>
      </c>
      <c r="C36" s="246" t="s">
        <v>460</v>
      </c>
      <c r="D36" s="261">
        <f aca="true" t="shared" si="2" ref="D36:P36">D9+D26</f>
        <v>1086.4850000000001</v>
      </c>
      <c r="E36" s="261">
        <f t="shared" si="2"/>
        <v>0</v>
      </c>
      <c r="F36" s="261">
        <f t="shared" si="2"/>
        <v>284.65</v>
      </c>
      <c r="G36" s="261">
        <f t="shared" si="2"/>
        <v>0</v>
      </c>
      <c r="H36" s="261">
        <f t="shared" si="2"/>
        <v>404.8550000000001</v>
      </c>
      <c r="I36" s="261">
        <f t="shared" si="2"/>
        <v>0</v>
      </c>
      <c r="J36" s="261">
        <f t="shared" si="2"/>
        <v>201.425</v>
      </c>
      <c r="K36" s="261">
        <f t="shared" si="2"/>
        <v>0</v>
      </c>
      <c r="L36" s="261">
        <f t="shared" si="2"/>
        <v>386</v>
      </c>
      <c r="M36" s="261">
        <f t="shared" si="2"/>
        <v>0</v>
      </c>
      <c r="N36" s="261">
        <f t="shared" si="2"/>
        <v>19.26</v>
      </c>
      <c r="O36" s="261">
        <f t="shared" si="2"/>
        <v>0</v>
      </c>
      <c r="P36" s="261">
        <f t="shared" si="2"/>
        <v>2043.335</v>
      </c>
    </row>
    <row r="37" spans="2:16" ht="13.5">
      <c r="B37" s="262">
        <f aca="true" t="shared" si="3" ref="B37:P37">SUM(B17+B35)</f>
        <v>125</v>
      </c>
      <c r="C37" s="246" t="s">
        <v>461</v>
      </c>
      <c r="D37" s="262">
        <f t="shared" si="3"/>
        <v>314.98</v>
      </c>
      <c r="E37" s="262">
        <f t="shared" si="3"/>
        <v>0</v>
      </c>
      <c r="F37" s="262">
        <f t="shared" si="3"/>
        <v>115.43</v>
      </c>
      <c r="G37" s="262">
        <f t="shared" si="3"/>
        <v>0</v>
      </c>
      <c r="H37" s="262">
        <f t="shared" si="3"/>
        <v>146.5</v>
      </c>
      <c r="I37" s="262">
        <f t="shared" si="3"/>
        <v>0</v>
      </c>
      <c r="J37" s="262">
        <f t="shared" si="3"/>
        <v>73.125</v>
      </c>
      <c r="K37" s="262">
        <f t="shared" si="3"/>
        <v>0</v>
      </c>
      <c r="L37" s="262">
        <f t="shared" si="3"/>
        <v>125</v>
      </c>
      <c r="M37" s="262">
        <f t="shared" si="3"/>
        <v>0</v>
      </c>
      <c r="N37" s="262">
        <f t="shared" si="3"/>
        <v>23.52</v>
      </c>
      <c r="O37" s="262">
        <f t="shared" si="3"/>
        <v>0</v>
      </c>
      <c r="P37" s="262">
        <f t="shared" si="3"/>
        <v>739</v>
      </c>
    </row>
    <row r="38" spans="2:16" ht="13.5">
      <c r="B38" s="261">
        <f>SUM(B36:B37)</f>
        <v>511</v>
      </c>
      <c r="C38" s="246" t="s">
        <v>276</v>
      </c>
      <c r="D38" s="261">
        <f>SUM(D36:D37)</f>
        <v>1401.4650000000001</v>
      </c>
      <c r="E38" s="261">
        <f aca="true" t="shared" si="4" ref="E38:P38">SUM(E36:E37)</f>
        <v>0</v>
      </c>
      <c r="F38" s="261">
        <f t="shared" si="4"/>
        <v>400.08</v>
      </c>
      <c r="G38" s="261">
        <f t="shared" si="4"/>
        <v>0</v>
      </c>
      <c r="H38" s="261">
        <f t="shared" si="4"/>
        <v>551.355</v>
      </c>
      <c r="I38" s="261">
        <f t="shared" si="4"/>
        <v>0</v>
      </c>
      <c r="J38" s="261">
        <f t="shared" si="4"/>
        <v>274.55</v>
      </c>
      <c r="K38" s="261">
        <f t="shared" si="4"/>
        <v>0</v>
      </c>
      <c r="L38" s="261">
        <f t="shared" si="4"/>
        <v>511</v>
      </c>
      <c r="M38" s="261">
        <f t="shared" si="4"/>
        <v>0</v>
      </c>
      <c r="N38" s="261">
        <f t="shared" si="4"/>
        <v>42.78</v>
      </c>
      <c r="O38" s="261">
        <f t="shared" si="4"/>
        <v>0</v>
      </c>
      <c r="P38" s="261">
        <f t="shared" si="4"/>
        <v>2782.335</v>
      </c>
    </row>
  </sheetData>
  <sheetProtection/>
  <mergeCells count="52">
    <mergeCell ref="A1:P1"/>
    <mergeCell ref="C2:F2"/>
    <mergeCell ref="G2:N2"/>
    <mergeCell ref="O2:P2"/>
    <mergeCell ref="C3:D3"/>
    <mergeCell ref="E3:F3"/>
    <mergeCell ref="G3:H3"/>
    <mergeCell ref="I3:J3"/>
    <mergeCell ref="K3:L3"/>
    <mergeCell ref="M3:N3"/>
    <mergeCell ref="O3:P3"/>
    <mergeCell ref="A11:P11"/>
    <mergeCell ref="C12:F12"/>
    <mergeCell ref="G12:L12"/>
    <mergeCell ref="O12:P12"/>
    <mergeCell ref="C13:D13"/>
    <mergeCell ref="E13:F13"/>
    <mergeCell ref="G13:H13"/>
    <mergeCell ref="I13:J13"/>
    <mergeCell ref="K13:L13"/>
    <mergeCell ref="M13:N13"/>
    <mergeCell ref="O13:P13"/>
    <mergeCell ref="A19:P19"/>
    <mergeCell ref="C20:F20"/>
    <mergeCell ref="G20:L20"/>
    <mergeCell ref="O20:P20"/>
    <mergeCell ref="C21:D21"/>
    <mergeCell ref="E21:F21"/>
    <mergeCell ref="G21:H21"/>
    <mergeCell ref="I21:J21"/>
    <mergeCell ref="K21:L21"/>
    <mergeCell ref="M21:N21"/>
    <mergeCell ref="O21:P21"/>
    <mergeCell ref="A28:P28"/>
    <mergeCell ref="C29:F29"/>
    <mergeCell ref="G29:L29"/>
    <mergeCell ref="O29:P29"/>
    <mergeCell ref="C30:D30"/>
    <mergeCell ref="E30:F30"/>
    <mergeCell ref="G30:H30"/>
    <mergeCell ref="I30:J30"/>
    <mergeCell ref="K30:L30"/>
    <mergeCell ref="M30:N30"/>
    <mergeCell ref="O30:P30"/>
    <mergeCell ref="A2:A4"/>
    <mergeCell ref="A12:A14"/>
    <mergeCell ref="A20:A22"/>
    <mergeCell ref="A29:A31"/>
    <mergeCell ref="B2:B4"/>
    <mergeCell ref="B12:B14"/>
    <mergeCell ref="B20:B22"/>
    <mergeCell ref="B29:B31"/>
  </mergeCells>
  <printOptions/>
  <pageMargins left="1.9685039370078743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&amp;C-8-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K44"/>
  <sheetViews>
    <sheetView workbookViewId="0" topLeftCell="A1">
      <selection activeCell="A5" sqref="A5:F7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8" width="9.00390625" style="27" bestFit="1" customWidth="1"/>
    <col min="9" max="12" width="8.625" style="27" hidden="1" customWidth="1"/>
    <col min="13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462</v>
      </c>
      <c r="C3" s="465"/>
      <c r="D3" s="465"/>
      <c r="E3" s="29" t="s">
        <v>38</v>
      </c>
      <c r="F3" s="180" t="s">
        <v>463</v>
      </c>
    </row>
    <row r="4" spans="1:6" ht="21" customHeight="1">
      <c r="A4" s="29" t="s">
        <v>251</v>
      </c>
      <c r="B4" s="466">
        <v>90009</v>
      </c>
      <c r="C4" s="466"/>
      <c r="D4" s="466"/>
      <c r="E4" s="29" t="s">
        <v>43</v>
      </c>
      <c r="F4" s="29" t="s">
        <v>345</v>
      </c>
    </row>
    <row r="5" spans="1:6" ht="19.5" customHeight="1">
      <c r="A5" s="466" t="s">
        <v>423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>
        <f>F10+F20</f>
        <v>9725.996280000001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>
        <f>F11+F16</f>
        <v>9039.03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SUM(F12:F15)</f>
        <v>1896.31</v>
      </c>
    </row>
    <row r="12" spans="1:6" ht="19.5" customHeight="1">
      <c r="A12" s="29"/>
      <c r="B12" s="29" t="s">
        <v>262</v>
      </c>
      <c r="C12" s="29" t="s">
        <v>291</v>
      </c>
      <c r="D12" s="33">
        <v>12</v>
      </c>
      <c r="E12" s="31">
        <f>'工长'!G20</f>
        <v>11.98</v>
      </c>
      <c r="F12" s="32">
        <f>D12*E12</f>
        <v>143.76</v>
      </c>
    </row>
    <row r="13" spans="1:6" ht="19.5" customHeight="1" hidden="1">
      <c r="A13" s="29"/>
      <c r="B13" s="29" t="s">
        <v>264</v>
      </c>
      <c r="C13" s="29" t="s">
        <v>291</v>
      </c>
      <c r="D13" s="244"/>
      <c r="E13" s="31">
        <f>'高级工'!G20</f>
        <v>11.09</v>
      </c>
      <c r="F13" s="32">
        <f>D13*E13</f>
        <v>0</v>
      </c>
    </row>
    <row r="14" spans="1:6" ht="19.5" customHeight="1">
      <c r="A14" s="29"/>
      <c r="B14" s="29" t="s">
        <v>265</v>
      </c>
      <c r="C14" s="29" t="s">
        <v>291</v>
      </c>
      <c r="D14" s="244">
        <v>105</v>
      </c>
      <c r="E14" s="31">
        <f>'中级工'!G20</f>
        <v>9.33</v>
      </c>
      <c r="F14" s="32">
        <f>D14*E14</f>
        <v>979.65</v>
      </c>
    </row>
    <row r="15" spans="1:8" ht="19.5" customHeight="1">
      <c r="A15" s="29"/>
      <c r="B15" s="29" t="s">
        <v>266</v>
      </c>
      <c r="C15" s="29" t="s">
        <v>291</v>
      </c>
      <c r="D15" s="33">
        <v>118</v>
      </c>
      <c r="E15" s="31">
        <f>'初级工'!G20</f>
        <v>6.55</v>
      </c>
      <c r="F15" s="31">
        <f>D15*E15</f>
        <v>772.9</v>
      </c>
      <c r="H15" s="42"/>
    </row>
    <row r="16" spans="1:6" ht="19.5" customHeight="1">
      <c r="A16" s="29">
        <v>2</v>
      </c>
      <c r="B16" s="29" t="s">
        <v>163</v>
      </c>
      <c r="C16" s="29"/>
      <c r="D16" s="33"/>
      <c r="E16" s="31"/>
      <c r="F16" s="31">
        <f>SUM(F17:F19)</f>
        <v>7142.72</v>
      </c>
    </row>
    <row r="17" spans="1:6" ht="19.5" customHeight="1">
      <c r="A17" s="29"/>
      <c r="B17" s="29" t="s">
        <v>198</v>
      </c>
      <c r="C17" s="43" t="s">
        <v>196</v>
      </c>
      <c r="D17" s="33">
        <v>0</v>
      </c>
      <c r="E17" s="31">
        <v>70</v>
      </c>
      <c r="F17" s="31">
        <f>D17*E17</f>
        <v>0</v>
      </c>
    </row>
    <row r="18" spans="1:9" ht="19.5" customHeight="1">
      <c r="A18" s="29"/>
      <c r="B18" s="29" t="s">
        <v>424</v>
      </c>
      <c r="C18" s="43" t="s">
        <v>383</v>
      </c>
      <c r="D18" s="33">
        <v>520</v>
      </c>
      <c r="E18" s="31">
        <v>13.6</v>
      </c>
      <c r="F18" s="31">
        <f>D18*E18</f>
        <v>7072</v>
      </c>
      <c r="I18" s="27">
        <v>1.05</v>
      </c>
    </row>
    <row r="19" spans="1:9" ht="19.5" customHeight="1">
      <c r="A19" s="29"/>
      <c r="B19" s="29" t="s">
        <v>315</v>
      </c>
      <c r="C19" s="29" t="s">
        <v>156</v>
      </c>
      <c r="D19" s="33">
        <v>1</v>
      </c>
      <c r="E19" s="35"/>
      <c r="F19" s="31">
        <f>(F17+F18)*D19/100</f>
        <v>70.72</v>
      </c>
      <c r="I19" s="27">
        <f>1/0.23</f>
        <v>4.3478260869565215</v>
      </c>
    </row>
    <row r="20" spans="1:11" ht="19.5" customHeight="1">
      <c r="A20" s="29" t="s">
        <v>57</v>
      </c>
      <c r="B20" s="29" t="s">
        <v>165</v>
      </c>
      <c r="C20" s="29" t="s">
        <v>156</v>
      </c>
      <c r="D20" s="29">
        <v>7.6</v>
      </c>
      <c r="E20" s="29"/>
      <c r="F20" s="31">
        <f>F10*D20/100</f>
        <v>686.96628</v>
      </c>
      <c r="K20" s="27" t="e">
        <f>I19*#REF!</f>
        <v>#REF!</v>
      </c>
    </row>
    <row r="21" spans="1:11" ht="19.5" customHeight="1">
      <c r="A21" s="29" t="s">
        <v>13</v>
      </c>
      <c r="B21" s="29" t="s">
        <v>166</v>
      </c>
      <c r="C21" s="29" t="s">
        <v>156</v>
      </c>
      <c r="D21" s="29">
        <v>7.25</v>
      </c>
      <c r="E21" s="29"/>
      <c r="F21" s="31">
        <f>F9*D21/100</f>
        <v>705.1347303000001</v>
      </c>
      <c r="K21" s="27" t="e">
        <f>K20*1.05</f>
        <v>#REF!</v>
      </c>
    </row>
    <row r="22" spans="1:6" ht="19.5" customHeight="1">
      <c r="A22" s="29" t="s">
        <v>21</v>
      </c>
      <c r="B22" s="29" t="s">
        <v>296</v>
      </c>
      <c r="C22" s="29" t="s">
        <v>156</v>
      </c>
      <c r="D22" s="29">
        <v>7</v>
      </c>
      <c r="E22" s="29"/>
      <c r="F22" s="31">
        <f>(F9+F21)*D22/100</f>
        <v>730.1791707210001</v>
      </c>
    </row>
    <row r="23" spans="1:6" ht="19.5" customHeight="1">
      <c r="A23" s="29" t="s">
        <v>60</v>
      </c>
      <c r="B23" s="29" t="s">
        <v>297</v>
      </c>
      <c r="C23" s="29"/>
      <c r="D23" s="29"/>
      <c r="E23" s="29"/>
      <c r="F23" s="31" t="e">
        <f>SUM(D17*(#REF!-70))</f>
        <v>#REF!</v>
      </c>
    </row>
    <row r="24" spans="1:6" ht="19.5" customHeight="1">
      <c r="A24" s="29" t="s">
        <v>62</v>
      </c>
      <c r="B24" s="29" t="s">
        <v>167</v>
      </c>
      <c r="C24" s="29" t="s">
        <v>156</v>
      </c>
      <c r="D24" s="29">
        <v>10</v>
      </c>
      <c r="E24" s="29"/>
      <c r="F24" s="31" t="e">
        <f>(F9+F21+F22+F23)*D24/100</f>
        <v>#REF!</v>
      </c>
    </row>
    <row r="25" spans="1:6" ht="19.5" customHeight="1" hidden="1">
      <c r="A25" s="29"/>
      <c r="B25" s="29"/>
      <c r="C25" s="29"/>
      <c r="D25" s="29"/>
      <c r="E25" s="29"/>
      <c r="F25" s="31"/>
    </row>
    <row r="26" spans="1:6" ht="19.5" customHeight="1" hidden="1">
      <c r="A26" s="29"/>
      <c r="B26" s="29"/>
      <c r="C26" s="43"/>
      <c r="D26" s="33"/>
      <c r="E26" s="32"/>
      <c r="F26" s="31"/>
    </row>
    <row r="27" spans="1:6" ht="19.5" customHeight="1" hidden="1">
      <c r="A27" s="29"/>
      <c r="B27" s="29"/>
      <c r="C27" s="29"/>
      <c r="D27" s="29"/>
      <c r="E27" s="29"/>
      <c r="F27" s="31"/>
    </row>
    <row r="28" spans="1:6" ht="19.5" customHeight="1" hidden="1">
      <c r="A28" s="29"/>
      <c r="B28" s="29"/>
      <c r="C28" s="29"/>
      <c r="D28" s="29"/>
      <c r="E28" s="29"/>
      <c r="F28" s="31"/>
    </row>
    <row r="29" spans="1:6" ht="19.5" customHeight="1" hidden="1">
      <c r="A29" s="29"/>
      <c r="B29" s="29"/>
      <c r="C29" s="29"/>
      <c r="D29" s="29"/>
      <c r="E29" s="29"/>
      <c r="F29" s="31"/>
    </row>
    <row r="30" spans="1:6" ht="19.5" customHeight="1">
      <c r="A30" s="29"/>
      <c r="B30" s="31" t="s">
        <v>276</v>
      </c>
      <c r="C30" s="29"/>
      <c r="D30" s="29"/>
      <c r="E30" s="29"/>
      <c r="F30" s="31" t="e">
        <f>SUM(F9+F21+F22+F23+F24)</f>
        <v>#REF!</v>
      </c>
    </row>
    <row r="31" spans="1:6" ht="19.5" customHeight="1" hidden="1">
      <c r="A31" s="29"/>
      <c r="B31" s="31" t="s">
        <v>275</v>
      </c>
      <c r="C31" s="29"/>
      <c r="D31" s="29"/>
      <c r="E31" s="29"/>
      <c r="F31" s="31" t="e">
        <f>F30/100</f>
        <v>#REF!</v>
      </c>
    </row>
    <row r="32" spans="1:6" ht="19.5" customHeight="1">
      <c r="A32" s="29"/>
      <c r="B32" s="31"/>
      <c r="C32" s="29"/>
      <c r="D32" s="29"/>
      <c r="E32" s="29"/>
      <c r="F32" s="31"/>
    </row>
    <row r="33" spans="1:6" ht="19.5" customHeight="1">
      <c r="A33" s="29"/>
      <c r="B33" s="31"/>
      <c r="C33" s="36"/>
      <c r="D33" s="36"/>
      <c r="E33" s="36"/>
      <c r="F33" s="31"/>
    </row>
    <row r="34" ht="19.5" customHeight="1"/>
    <row r="35" ht="19.5" customHeight="1"/>
    <row r="36" ht="19.5" customHeight="1" hidden="1"/>
    <row r="37" ht="19.5" customHeight="1" hidden="1">
      <c r="C37" s="27">
        <f>1*1*5</f>
        <v>5</v>
      </c>
    </row>
    <row r="38" spans="3:4" ht="19.5" customHeight="1" hidden="1">
      <c r="C38" s="27">
        <f>1*4*3+1*1*2</f>
        <v>14</v>
      </c>
      <c r="D38" s="27">
        <v>3</v>
      </c>
    </row>
    <row r="39" spans="3:4" ht="19.5" customHeight="1" hidden="1">
      <c r="C39" s="27">
        <f>C38*D39/D38*1.06</f>
        <v>494.6666666666667</v>
      </c>
      <c r="D39" s="27">
        <v>100</v>
      </c>
    </row>
    <row r="40" spans="3:4" ht="19.5" customHeight="1" hidden="1">
      <c r="C40" s="27">
        <f>(0.5*2*5+1*2*5+0.5*1*2)*2</f>
        <v>32</v>
      </c>
      <c r="D40" s="27">
        <v>5</v>
      </c>
    </row>
    <row r="41" spans="3:4" ht="19.5" customHeight="1" hidden="1">
      <c r="C41" s="27">
        <f>C40*D41/D40*1.06</f>
        <v>678.4000000000001</v>
      </c>
      <c r="D41" s="27">
        <v>100</v>
      </c>
    </row>
    <row r="42" ht="19.5" customHeight="1" hidden="1"/>
    <row r="43" spans="3:4" ht="19.5" customHeight="1" hidden="1">
      <c r="C43" s="27">
        <f>1*2*10+0.6*10*2+1*0.6*2</f>
        <v>33.2</v>
      </c>
      <c r="D43" s="245">
        <f>1*0.6*10</f>
        <v>6</v>
      </c>
    </row>
    <row r="44" spans="3:4" ht="14.25" hidden="1">
      <c r="C44" s="27">
        <f>C43*D44/D43*1.03</f>
        <v>569.9333333333334</v>
      </c>
      <c r="D44" s="27">
        <v>100</v>
      </c>
    </row>
  </sheetData>
  <sheetProtection/>
  <mergeCells count="4">
    <mergeCell ref="A1:F1"/>
    <mergeCell ref="B3:D3"/>
    <mergeCell ref="B4:D4"/>
    <mergeCell ref="A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&amp;C-&amp;P--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5"/>
  </sheetPr>
  <dimension ref="A1:F33"/>
  <sheetViews>
    <sheetView workbookViewId="0" topLeftCell="A22">
      <selection activeCell="F29" sqref="F29"/>
    </sheetView>
  </sheetViews>
  <sheetFormatPr defaultColWidth="8.75390625" defaultRowHeight="19.5" customHeight="1"/>
  <cols>
    <col min="1" max="1" width="7.12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269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221" t="s">
        <v>161</v>
      </c>
      <c r="B3" s="472" t="s">
        <v>171</v>
      </c>
      <c r="C3" s="472"/>
      <c r="D3" s="472"/>
      <c r="E3" s="221" t="s">
        <v>38</v>
      </c>
      <c r="F3" s="180" t="s">
        <v>464</v>
      </c>
    </row>
    <row r="4" spans="1:6" ht="21" customHeight="1">
      <c r="A4" s="221" t="s">
        <v>251</v>
      </c>
      <c r="B4" s="472" t="s">
        <v>465</v>
      </c>
      <c r="C4" s="472"/>
      <c r="D4" s="472"/>
      <c r="E4" s="221" t="s">
        <v>43</v>
      </c>
      <c r="F4" s="29" t="s">
        <v>345</v>
      </c>
    </row>
    <row r="5" spans="1:6" ht="16.5" customHeight="1">
      <c r="A5" s="473" t="s">
        <v>466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F10+F27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F11+F16+F20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6385.7687000000005</v>
      </c>
    </row>
    <row r="12" spans="1:6" ht="19.5" customHeight="1">
      <c r="A12" s="227"/>
      <c r="B12" s="227" t="s">
        <v>262</v>
      </c>
      <c r="C12" s="227" t="s">
        <v>291</v>
      </c>
      <c r="D12" s="228">
        <v>11.4</v>
      </c>
      <c r="E12" s="228">
        <f>'工长'!G20</f>
        <v>11.98</v>
      </c>
      <c r="F12" s="229">
        <f>D12*E12</f>
        <v>136.572</v>
      </c>
    </row>
    <row r="13" spans="1:6" ht="19.5" customHeight="1">
      <c r="A13" s="227"/>
      <c r="B13" s="227" t="s">
        <v>264</v>
      </c>
      <c r="C13" s="227" t="s">
        <v>291</v>
      </c>
      <c r="D13" s="228">
        <v>19</v>
      </c>
      <c r="E13" s="228">
        <f>'高级工'!G20</f>
        <v>11.09</v>
      </c>
      <c r="F13" s="229">
        <f>D13*E13</f>
        <v>210.71</v>
      </c>
    </row>
    <row r="14" spans="1:6" ht="19.5" customHeight="1">
      <c r="A14" s="227"/>
      <c r="B14" s="227" t="s">
        <v>265</v>
      </c>
      <c r="C14" s="227" t="s">
        <v>291</v>
      </c>
      <c r="D14" s="228">
        <f>198.1+126.2*1.05+37.6*1.05</f>
        <v>370.09000000000003</v>
      </c>
      <c r="E14" s="228">
        <f>'中级工'!G20</f>
        <v>9.33</v>
      </c>
      <c r="F14" s="229">
        <f>D14*E14</f>
        <v>3452.9397000000004</v>
      </c>
    </row>
    <row r="15" spans="1:6" ht="19.5" customHeight="1">
      <c r="A15" s="227"/>
      <c r="B15" s="227" t="s">
        <v>266</v>
      </c>
      <c r="C15" s="227" t="s">
        <v>291</v>
      </c>
      <c r="D15" s="228">
        <f>152.4+167.2*1.05+30.8*1.05+32.8*1.05</f>
        <v>394.74000000000007</v>
      </c>
      <c r="E15" s="228">
        <f>'初级工'!G20</f>
        <v>6.55</v>
      </c>
      <c r="F15" s="229">
        <f>D15*E15</f>
        <v>2585.5470000000005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SUM(F17:F19)</f>
        <v>#REF!</v>
      </c>
    </row>
    <row r="17" spans="1:6" ht="19.5" customHeight="1">
      <c r="A17" s="227"/>
      <c r="B17" s="227" t="s">
        <v>247</v>
      </c>
      <c r="C17" s="222" t="s">
        <v>196</v>
      </c>
      <c r="D17" s="228">
        <v>105</v>
      </c>
      <c r="E17" s="228" t="e">
        <f>SUM(#REF!)</f>
        <v>#REF!</v>
      </c>
      <c r="F17" s="228" t="e">
        <f>D17*E17</f>
        <v>#REF!</v>
      </c>
    </row>
    <row r="18" spans="1:6" ht="19.5" customHeight="1">
      <c r="A18" s="227"/>
      <c r="B18" s="227" t="s">
        <v>278</v>
      </c>
      <c r="C18" s="222" t="s">
        <v>196</v>
      </c>
      <c r="D18" s="228">
        <v>125</v>
      </c>
      <c r="E18" s="228" t="e">
        <f>SUM(#REF!)</f>
        <v>#REF!</v>
      </c>
      <c r="F18" s="228" t="e">
        <f>D18*E18</f>
        <v>#REF!</v>
      </c>
    </row>
    <row r="19" spans="1:6" ht="19.5" customHeight="1">
      <c r="A19" s="227"/>
      <c r="B19" s="227" t="s">
        <v>293</v>
      </c>
      <c r="C19" s="227" t="s">
        <v>156</v>
      </c>
      <c r="D19" s="231"/>
      <c r="E19" s="232"/>
      <c r="F19" s="228" t="e">
        <f>(F17+F18)*0.02+32.8*1.05*E15*0.2+(37.6*1.05*E14+30.8*1.05*E15+F25)*0.05+(126.2*1.05*E14+167.2*1.05*E15+F23+F24)*0.02</f>
        <v>#REF!</v>
      </c>
    </row>
    <row r="20" spans="1:6" ht="19.5" customHeight="1">
      <c r="A20" s="227">
        <v>3</v>
      </c>
      <c r="B20" s="234" t="s">
        <v>164</v>
      </c>
      <c r="C20" s="222"/>
      <c r="D20" s="231"/>
      <c r="E20" s="232"/>
      <c r="F20" s="228" t="e">
        <f>SUM(F21:F26)</f>
        <v>#REF!</v>
      </c>
    </row>
    <row r="21" spans="1:6" ht="19.5" customHeight="1">
      <c r="A21" s="227"/>
      <c r="B21" s="227" t="s">
        <v>307</v>
      </c>
      <c r="C21" s="234" t="s">
        <v>179</v>
      </c>
      <c r="D21" s="228">
        <v>21.42</v>
      </c>
      <c r="E21" s="228" t="e">
        <f>SUM('台时-2'!C6)</f>
        <v>#REF!</v>
      </c>
      <c r="F21" s="228" t="e">
        <f>D21*E21</f>
        <v>#REF!</v>
      </c>
    </row>
    <row r="22" spans="1:6" ht="19.5" customHeight="1">
      <c r="A22" s="227"/>
      <c r="B22" s="234" t="s">
        <v>308</v>
      </c>
      <c r="C22" s="234" t="s">
        <v>179</v>
      </c>
      <c r="D22" s="228">
        <v>27.85</v>
      </c>
      <c r="E22" s="228" t="e">
        <f>SUM('台时-2'!C12)</f>
        <v>#REF!</v>
      </c>
      <c r="F22" s="228" t="e">
        <f>D22*E22</f>
        <v>#REF!</v>
      </c>
    </row>
    <row r="23" spans="1:6" ht="19.5" customHeight="1">
      <c r="A23" s="227"/>
      <c r="B23" s="234" t="s">
        <v>295</v>
      </c>
      <c r="C23" s="234" t="s">
        <v>179</v>
      </c>
      <c r="D23" s="228">
        <f>18.9*1.05</f>
        <v>19.845</v>
      </c>
      <c r="E23" s="228" t="e">
        <f>SUM('台时-1'!C27)</f>
        <v>#REF!</v>
      </c>
      <c r="F23" s="228" t="e">
        <f>D23*E23</f>
        <v>#REF!</v>
      </c>
    </row>
    <row r="24" spans="1:6" ht="19.5" customHeight="1">
      <c r="A24" s="227"/>
      <c r="B24" s="234" t="s">
        <v>227</v>
      </c>
      <c r="C24" s="234" t="s">
        <v>179</v>
      </c>
      <c r="D24" s="228">
        <f>87.15*1.05</f>
        <v>91.50750000000001</v>
      </c>
      <c r="E24" s="228">
        <f>SUM('台时-2'!C22)</f>
        <v>0.8172444588779735</v>
      </c>
      <c r="F24" s="228">
        <f>D24*E24</f>
        <v>74.78399732077617</v>
      </c>
    </row>
    <row r="25" spans="1:6" ht="19.5" customHeight="1">
      <c r="A25" s="227"/>
      <c r="B25" s="234" t="s">
        <v>309</v>
      </c>
      <c r="C25" s="234" t="s">
        <v>179</v>
      </c>
      <c r="D25" s="228">
        <f>20.32*1.05</f>
        <v>21.336000000000002</v>
      </c>
      <c r="E25" s="228">
        <f>SUM('台时-4'!C23)</f>
        <v>18.812912072744986</v>
      </c>
      <c r="F25" s="228">
        <f>D25*E25</f>
        <v>401.3922919840871</v>
      </c>
    </row>
    <row r="26" spans="1:6" ht="19.5" customHeight="1">
      <c r="A26" s="227"/>
      <c r="B26" s="234" t="s">
        <v>310</v>
      </c>
      <c r="C26" s="227" t="s">
        <v>156</v>
      </c>
      <c r="D26" s="231">
        <v>10</v>
      </c>
      <c r="E26" s="232"/>
      <c r="F26" s="228" t="e">
        <f>(F21+F22)*D26/100</f>
        <v>#REF!</v>
      </c>
    </row>
    <row r="27" spans="1:6" ht="19.5" customHeight="1">
      <c r="A27" s="227" t="s">
        <v>57</v>
      </c>
      <c r="B27" s="227" t="s">
        <v>165</v>
      </c>
      <c r="C27" s="227" t="s">
        <v>156</v>
      </c>
      <c r="D27" s="235">
        <v>10.5</v>
      </c>
      <c r="E27" s="235"/>
      <c r="F27" s="238" t="e">
        <f>F10*D27/100</f>
        <v>#REF!</v>
      </c>
    </row>
    <row r="28" spans="1:6" ht="19.5" customHeight="1">
      <c r="A28" s="227" t="s">
        <v>13</v>
      </c>
      <c r="B28" s="227" t="s">
        <v>166</v>
      </c>
      <c r="C28" s="227" t="s">
        <v>156</v>
      </c>
      <c r="D28" s="235">
        <v>9.5</v>
      </c>
      <c r="E28" s="235"/>
      <c r="F28" s="238" t="e">
        <f>F9*D28/100</f>
        <v>#REF!</v>
      </c>
    </row>
    <row r="29" spans="1:6" ht="19.5" customHeight="1">
      <c r="A29" s="227" t="s">
        <v>21</v>
      </c>
      <c r="B29" s="227" t="s">
        <v>296</v>
      </c>
      <c r="C29" s="227" t="s">
        <v>156</v>
      </c>
      <c r="D29" s="235">
        <v>7</v>
      </c>
      <c r="E29" s="235"/>
      <c r="F29" s="238" t="e">
        <f>(F9+F28)*D29/100</f>
        <v>#REF!</v>
      </c>
    </row>
    <row r="30" spans="1:6" ht="19.5" customHeight="1">
      <c r="A30" s="227" t="s">
        <v>60</v>
      </c>
      <c r="B30" s="227" t="s">
        <v>297</v>
      </c>
      <c r="C30" s="227"/>
      <c r="D30" s="235"/>
      <c r="E30" s="235"/>
      <c r="F30" s="238" t="e">
        <f>SUM(D17*#REF!*(#REF!-255)+D17*#REF!*(#REF!-70)+D17*#REF!*(#REF!-70)+D25*'台时-4'!J23/1000*(#REF!-2990))</f>
        <v>#REF!</v>
      </c>
    </row>
    <row r="31" spans="1:6" ht="19.5" customHeight="1">
      <c r="A31" s="227" t="s">
        <v>62</v>
      </c>
      <c r="B31" s="227" t="s">
        <v>167</v>
      </c>
      <c r="C31" s="227" t="s">
        <v>156</v>
      </c>
      <c r="D31" s="235">
        <v>9</v>
      </c>
      <c r="E31" s="235"/>
      <c r="F31" s="238" t="e">
        <f>(F9+F28+F29+F30)*D31/100</f>
        <v>#REF!</v>
      </c>
    </row>
    <row r="32" spans="1:6" ht="19.5" customHeight="1">
      <c r="A32" s="235"/>
      <c r="B32" s="228" t="s">
        <v>276</v>
      </c>
      <c r="C32" s="235"/>
      <c r="D32" s="235"/>
      <c r="E32" s="235"/>
      <c r="F32" s="238" t="e">
        <f>F9+F28+F29+F30+F31</f>
        <v>#REF!</v>
      </c>
    </row>
    <row r="33" spans="1:6" ht="19.5" customHeight="1" hidden="1">
      <c r="A33" s="239"/>
      <c r="B33" s="240" t="s">
        <v>275</v>
      </c>
      <c r="C33" s="241"/>
      <c r="D33" s="241"/>
      <c r="E33" s="241"/>
      <c r="F33" s="242" t="e">
        <f>F32/100</f>
        <v>#REF!</v>
      </c>
    </row>
  </sheetData>
  <sheetProtection/>
  <mergeCells count="4">
    <mergeCell ref="A1:F1"/>
    <mergeCell ref="B3:D3"/>
    <mergeCell ref="B4:D4"/>
    <mergeCell ref="A5:F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  <headerFooter alignWithMargins="0">
    <oddFooter>&amp;C&amp;"Times New Roman,常规"-&amp;P--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5"/>
  </sheetPr>
  <dimension ref="A1:F34"/>
  <sheetViews>
    <sheetView workbookViewId="0" topLeftCell="A1">
      <selection activeCell="B23" sqref="B23"/>
    </sheetView>
  </sheetViews>
  <sheetFormatPr defaultColWidth="8.75390625" defaultRowHeight="19.5" customHeight="1"/>
  <cols>
    <col min="1" max="1" width="7.37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269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221" t="s">
        <v>161</v>
      </c>
      <c r="B3" s="472" t="s">
        <v>173</v>
      </c>
      <c r="C3" s="472"/>
      <c r="D3" s="472"/>
      <c r="E3" s="221" t="s">
        <v>38</v>
      </c>
      <c r="F3" s="180" t="s">
        <v>467</v>
      </c>
    </row>
    <row r="4" spans="1:6" ht="21" customHeight="1">
      <c r="A4" s="221" t="s">
        <v>251</v>
      </c>
      <c r="B4" s="472" t="s">
        <v>468</v>
      </c>
      <c r="C4" s="472"/>
      <c r="D4" s="472"/>
      <c r="E4" s="221" t="s">
        <v>43</v>
      </c>
      <c r="F4" s="29" t="s">
        <v>345</v>
      </c>
    </row>
    <row r="5" spans="1:6" ht="16.5" customHeight="1">
      <c r="A5" s="473" t="s">
        <v>469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F10+F28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F11+F16+F20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6618.0087</v>
      </c>
    </row>
    <row r="12" spans="1:6" ht="19.5" customHeight="1">
      <c r="A12" s="227"/>
      <c r="B12" s="227" t="s">
        <v>262</v>
      </c>
      <c r="C12" s="227" t="s">
        <v>291</v>
      </c>
      <c r="D12" s="227">
        <v>12.2</v>
      </c>
      <c r="E12" s="228">
        <f>'工长'!G20</f>
        <v>11.98</v>
      </c>
      <c r="F12" s="229">
        <f>D12*E12</f>
        <v>146.156</v>
      </c>
    </row>
    <row r="13" spans="1:6" ht="19.5" customHeight="1">
      <c r="A13" s="227"/>
      <c r="B13" s="227" t="s">
        <v>264</v>
      </c>
      <c r="C13" s="227" t="s">
        <v>291</v>
      </c>
      <c r="D13" s="230">
        <v>16.3</v>
      </c>
      <c r="E13" s="228">
        <f>'高级工'!G20</f>
        <v>11.09</v>
      </c>
      <c r="F13" s="229">
        <f>D13*E13</f>
        <v>180.767</v>
      </c>
    </row>
    <row r="14" spans="1:6" ht="19.5" customHeight="1">
      <c r="A14" s="227"/>
      <c r="B14" s="227" t="s">
        <v>265</v>
      </c>
      <c r="C14" s="227" t="s">
        <v>291</v>
      </c>
      <c r="D14" s="228">
        <f>220.4+126.2*1.05+37.6*1.05</f>
        <v>392.39000000000004</v>
      </c>
      <c r="E14" s="228">
        <f>'中级工'!G20</f>
        <v>9.33</v>
      </c>
      <c r="F14" s="229">
        <f>D14*E14</f>
        <v>3660.9987000000006</v>
      </c>
    </row>
    <row r="15" spans="1:6" ht="19.5" customHeight="1">
      <c r="A15" s="227"/>
      <c r="B15" s="227" t="s">
        <v>266</v>
      </c>
      <c r="C15" s="227" t="s">
        <v>291</v>
      </c>
      <c r="D15" s="228">
        <f>159.2+167.2*1.05+30.8*1.05+32.8*1.05</f>
        <v>401.54</v>
      </c>
      <c r="E15" s="228">
        <f>'初级工'!G20</f>
        <v>6.55</v>
      </c>
      <c r="F15" s="229">
        <f>D15*E15</f>
        <v>2630.087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SUM(F17:F19)</f>
        <v>#REF!</v>
      </c>
    </row>
    <row r="17" spans="1:6" ht="19.5" customHeight="1">
      <c r="A17" s="227"/>
      <c r="B17" s="233" t="s">
        <v>304</v>
      </c>
      <c r="C17" s="222" t="s">
        <v>196</v>
      </c>
      <c r="D17" s="228">
        <v>105</v>
      </c>
      <c r="E17" s="228" t="e">
        <f>SUM(#REF!)</f>
        <v>#REF!</v>
      </c>
      <c r="F17" s="228" t="e">
        <f>D17*E17</f>
        <v>#REF!</v>
      </c>
    </row>
    <row r="18" spans="1:6" ht="19.5" customHeight="1">
      <c r="A18" s="227"/>
      <c r="B18" s="227" t="s">
        <v>278</v>
      </c>
      <c r="C18" s="222" t="s">
        <v>196</v>
      </c>
      <c r="D18" s="228">
        <v>73</v>
      </c>
      <c r="E18" s="228" t="e">
        <f>SUM(#REF!)</f>
        <v>#REF!</v>
      </c>
      <c r="F18" s="228" t="e">
        <f>D18*E18</f>
        <v>#REF!</v>
      </c>
    </row>
    <row r="19" spans="1:6" ht="19.5" customHeight="1">
      <c r="A19" s="227"/>
      <c r="B19" s="227" t="s">
        <v>293</v>
      </c>
      <c r="C19" s="227" t="s">
        <v>156</v>
      </c>
      <c r="D19" s="230"/>
      <c r="E19" s="232"/>
      <c r="F19" s="228" t="e">
        <f>(F17+F18)*0.02+32.8*1.05*E15*0.2+(37.6*1.05*E14+30.8*1.05*E15+F26)*0.05+(126.2*1.05*E14+167.2*1.05*E15+F24+F25)*0.02</f>
        <v>#REF!</v>
      </c>
    </row>
    <row r="20" spans="1:6" ht="19.5" customHeight="1">
      <c r="A20" s="227">
        <v>3</v>
      </c>
      <c r="B20" s="234" t="s">
        <v>164</v>
      </c>
      <c r="C20" s="222"/>
      <c r="D20" s="231"/>
      <c r="E20" s="232"/>
      <c r="F20" s="228" t="e">
        <f>SUM(F21:F27)</f>
        <v>#REF!</v>
      </c>
    </row>
    <row r="21" spans="1:6" ht="19.5" customHeight="1">
      <c r="A21" s="227"/>
      <c r="B21" s="227" t="s">
        <v>470</v>
      </c>
      <c r="C21" s="234" t="s">
        <v>179</v>
      </c>
      <c r="D21" s="228">
        <v>21.42</v>
      </c>
      <c r="E21" s="228" t="e">
        <f>SUM('台时-2'!C7)</f>
        <v>#REF!</v>
      </c>
      <c r="F21" s="228" t="e">
        <f aca="true" t="shared" si="0" ref="F21:F26">D21*E21</f>
        <v>#REF!</v>
      </c>
    </row>
    <row r="22" spans="1:6" ht="19.5" customHeight="1">
      <c r="A22" s="227"/>
      <c r="B22" s="234" t="s">
        <v>308</v>
      </c>
      <c r="C22" s="234" t="s">
        <v>179</v>
      </c>
      <c r="D22" s="228">
        <v>5.74</v>
      </c>
      <c r="E22" s="228" t="e">
        <f>SUM('台时-2'!C12)</f>
        <v>#REF!</v>
      </c>
      <c r="F22" s="228" t="e">
        <f t="shared" si="0"/>
        <v>#REF!</v>
      </c>
    </row>
    <row r="23" spans="1:6" ht="19.5" customHeight="1">
      <c r="A23" s="227"/>
      <c r="B23" s="234" t="s">
        <v>471</v>
      </c>
      <c r="C23" s="234" t="s">
        <v>179</v>
      </c>
      <c r="D23" s="228">
        <v>10.71</v>
      </c>
      <c r="E23" s="228" t="e">
        <f>SUM('台时-2'!C10)</f>
        <v>#REF!</v>
      </c>
      <c r="F23" s="228" t="e">
        <f t="shared" si="0"/>
        <v>#REF!</v>
      </c>
    </row>
    <row r="24" spans="1:6" ht="19.5" customHeight="1">
      <c r="A24" s="227"/>
      <c r="B24" s="234" t="s">
        <v>295</v>
      </c>
      <c r="C24" s="234" t="s">
        <v>179</v>
      </c>
      <c r="D24" s="228">
        <f>18.9*1.05</f>
        <v>19.845</v>
      </c>
      <c r="E24" s="228" t="e">
        <f>SUM('台时-1'!C27)</f>
        <v>#REF!</v>
      </c>
      <c r="F24" s="228" t="e">
        <f t="shared" si="0"/>
        <v>#REF!</v>
      </c>
    </row>
    <row r="25" spans="1:6" ht="19.5" customHeight="1">
      <c r="A25" s="227"/>
      <c r="B25" s="234" t="s">
        <v>227</v>
      </c>
      <c r="C25" s="234" t="s">
        <v>179</v>
      </c>
      <c r="D25" s="228">
        <f>87.15*1.05</f>
        <v>91.50750000000001</v>
      </c>
      <c r="E25" s="228">
        <f>SUM('台时-2'!C22)</f>
        <v>0.8172444588779735</v>
      </c>
      <c r="F25" s="228">
        <f t="shared" si="0"/>
        <v>74.78399732077617</v>
      </c>
    </row>
    <row r="26" spans="1:6" ht="19.5" customHeight="1">
      <c r="A26" s="227"/>
      <c r="B26" s="234" t="s">
        <v>309</v>
      </c>
      <c r="C26" s="234" t="s">
        <v>179</v>
      </c>
      <c r="D26" s="228">
        <f>20.32*1.05</f>
        <v>21.336000000000002</v>
      </c>
      <c r="E26" s="228">
        <f>SUM('台时-4'!C23)</f>
        <v>18.812912072744986</v>
      </c>
      <c r="F26" s="228">
        <f t="shared" si="0"/>
        <v>401.3922919840871</v>
      </c>
    </row>
    <row r="27" spans="1:6" ht="19.5" customHeight="1">
      <c r="A27" s="227"/>
      <c r="B27" s="234" t="s">
        <v>310</v>
      </c>
      <c r="C27" s="227" t="s">
        <v>156</v>
      </c>
      <c r="D27" s="231">
        <v>18</v>
      </c>
      <c r="E27" s="232"/>
      <c r="F27" s="228" t="e">
        <f>(F21+F22+F23)*D27/100</f>
        <v>#REF!</v>
      </c>
    </row>
    <row r="28" spans="1:6" ht="19.5" customHeight="1">
      <c r="A28" s="227" t="s">
        <v>57</v>
      </c>
      <c r="B28" s="227" t="s">
        <v>165</v>
      </c>
      <c r="C28" s="227" t="s">
        <v>156</v>
      </c>
      <c r="D28" s="235">
        <v>7.6</v>
      </c>
      <c r="E28" s="235"/>
      <c r="F28" s="238" t="e">
        <f>F10*D28/100</f>
        <v>#REF!</v>
      </c>
    </row>
    <row r="29" spans="1:6" ht="19.5" customHeight="1">
      <c r="A29" s="227" t="s">
        <v>13</v>
      </c>
      <c r="B29" s="227" t="s">
        <v>166</v>
      </c>
      <c r="C29" s="227" t="s">
        <v>156</v>
      </c>
      <c r="D29" s="235">
        <v>8.5</v>
      </c>
      <c r="E29" s="235"/>
      <c r="F29" s="238" t="e">
        <f>F9*D29/100</f>
        <v>#REF!</v>
      </c>
    </row>
    <row r="30" spans="1:6" ht="19.5" customHeight="1">
      <c r="A30" s="227" t="s">
        <v>21</v>
      </c>
      <c r="B30" s="227" t="s">
        <v>296</v>
      </c>
      <c r="C30" s="227" t="s">
        <v>156</v>
      </c>
      <c r="D30" s="235">
        <v>7</v>
      </c>
      <c r="E30" s="235"/>
      <c r="F30" s="238" t="e">
        <f>(F9+F29)*D30/100</f>
        <v>#REF!</v>
      </c>
    </row>
    <row r="31" spans="1:6" ht="19.5" customHeight="1">
      <c r="A31" s="227" t="s">
        <v>60</v>
      </c>
      <c r="B31" s="227" t="s">
        <v>297</v>
      </c>
      <c r="C31" s="227"/>
      <c r="D31" s="235"/>
      <c r="E31" s="235"/>
      <c r="F31" s="238" t="e">
        <f>SUM(D17*#REF!*(#REF!-255)+D17*#REF!*(#REF!-70)+D17*#REF!*(#REF!-70)+D26*'台时-4'!J23/1000*(#REF!-2990))</f>
        <v>#REF!</v>
      </c>
    </row>
    <row r="32" spans="1:6" ht="19.5" customHeight="1">
      <c r="A32" s="227" t="s">
        <v>62</v>
      </c>
      <c r="B32" s="227" t="s">
        <v>167</v>
      </c>
      <c r="C32" s="227" t="s">
        <v>156</v>
      </c>
      <c r="D32" s="235">
        <v>10</v>
      </c>
      <c r="E32" s="235"/>
      <c r="F32" s="238" t="e">
        <f>(F9+F29+F30+F31)*D32/100</f>
        <v>#REF!</v>
      </c>
    </row>
    <row r="33" spans="1:6" ht="19.5" customHeight="1">
      <c r="A33" s="235"/>
      <c r="B33" s="228" t="s">
        <v>276</v>
      </c>
      <c r="C33" s="235"/>
      <c r="D33" s="235"/>
      <c r="E33" s="235"/>
      <c r="F33" s="238" t="e">
        <f>F9+F29+F30+F31+F32</f>
        <v>#REF!</v>
      </c>
    </row>
    <row r="34" spans="1:6" ht="19.5" customHeight="1" hidden="1">
      <c r="A34" s="243"/>
      <c r="B34" s="228" t="s">
        <v>275</v>
      </c>
      <c r="C34" s="227"/>
      <c r="D34" s="227"/>
      <c r="E34" s="227"/>
      <c r="F34" s="228" t="e">
        <f>F33/100</f>
        <v>#REF!</v>
      </c>
    </row>
  </sheetData>
  <sheetProtection/>
  <mergeCells count="4">
    <mergeCell ref="A1:F1"/>
    <mergeCell ref="B3:D3"/>
    <mergeCell ref="B4:D4"/>
    <mergeCell ref="A5:F7"/>
  </mergeCells>
  <printOptions/>
  <pageMargins left="0.9448818897637796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="160" zoomScaleNormal="160" workbookViewId="0" topLeftCell="A1">
      <selection activeCell="G29" sqref="G29"/>
    </sheetView>
  </sheetViews>
  <sheetFormatPr defaultColWidth="8.625" defaultRowHeight="14.25"/>
  <cols>
    <col min="1" max="1" width="5.375" style="0" customWidth="1"/>
    <col min="2" max="2" width="32.75390625" style="0" customWidth="1"/>
    <col min="3" max="4" width="7.375" style="0" customWidth="1"/>
    <col min="5" max="5" width="7.875" style="0" customWidth="1"/>
    <col min="6" max="6" width="9.625" style="0" customWidth="1"/>
    <col min="7" max="7" width="9.00390625" style="0" customWidth="1"/>
    <col min="8" max="8" width="9.375" style="0" customWidth="1"/>
  </cols>
  <sheetData>
    <row r="1" spans="1:8" ht="14.25">
      <c r="A1" s="349"/>
      <c r="B1" s="349"/>
      <c r="C1" s="349"/>
      <c r="D1" s="349"/>
      <c r="E1" s="349"/>
      <c r="F1" s="349"/>
      <c r="G1" s="349"/>
      <c r="H1" s="349"/>
    </row>
    <row r="2" spans="1:8" ht="20.25">
      <c r="A2" s="441" t="s">
        <v>120</v>
      </c>
      <c r="B2" s="441"/>
      <c r="C2" s="441"/>
      <c r="D2" s="441"/>
      <c r="E2" s="441"/>
      <c r="F2" s="441"/>
      <c r="G2" s="441"/>
      <c r="H2" s="441"/>
    </row>
    <row r="3" spans="1:8" ht="14.25">
      <c r="A3" s="349"/>
      <c r="B3" s="349"/>
      <c r="C3" s="349"/>
      <c r="D3" s="349"/>
      <c r="E3" s="349"/>
      <c r="F3" s="349"/>
      <c r="G3" s="349"/>
      <c r="H3" s="350"/>
    </row>
    <row r="4" spans="1:8" ht="20.25" customHeight="1">
      <c r="A4" s="442" t="s">
        <v>38</v>
      </c>
      <c r="B4" s="442" t="s">
        <v>3</v>
      </c>
      <c r="C4" s="442" t="s">
        <v>43</v>
      </c>
      <c r="D4" s="442" t="s">
        <v>44</v>
      </c>
      <c r="E4" s="442" t="s">
        <v>121</v>
      </c>
      <c r="F4" s="442"/>
      <c r="G4" s="443" t="s">
        <v>122</v>
      </c>
      <c r="H4" s="443"/>
    </row>
    <row r="5" spans="1:8" ht="20.25" customHeight="1">
      <c r="A5" s="442"/>
      <c r="B5" s="442"/>
      <c r="C5" s="442"/>
      <c r="D5" s="442"/>
      <c r="E5" s="351" t="s">
        <v>107</v>
      </c>
      <c r="F5" s="351" t="s">
        <v>108</v>
      </c>
      <c r="G5" s="352" t="s">
        <v>107</v>
      </c>
      <c r="H5" s="352" t="s">
        <v>108</v>
      </c>
    </row>
    <row r="6" spans="1:9" ht="20.25" customHeight="1">
      <c r="A6" s="351"/>
      <c r="B6" s="351" t="s">
        <v>123</v>
      </c>
      <c r="C6" s="351"/>
      <c r="D6" s="351"/>
      <c r="E6" s="351"/>
      <c r="F6" s="351"/>
      <c r="G6" s="352"/>
      <c r="H6" s="352"/>
      <c r="I6" s="60"/>
    </row>
    <row r="7" spans="1:8" ht="20.25" customHeight="1">
      <c r="A7" s="351" t="s">
        <v>11</v>
      </c>
      <c r="B7" s="351" t="s">
        <v>67</v>
      </c>
      <c r="C7" s="351"/>
      <c r="D7" s="351"/>
      <c r="E7" s="351"/>
      <c r="F7" s="351"/>
      <c r="G7" s="352"/>
      <c r="H7" s="352"/>
    </row>
    <row r="8" spans="1:8" ht="20.25" customHeight="1">
      <c r="A8" s="351"/>
      <c r="B8" s="351" t="s">
        <v>124</v>
      </c>
      <c r="C8" s="351" t="s">
        <v>125</v>
      </c>
      <c r="D8" s="351">
        <v>2</v>
      </c>
      <c r="E8" s="351"/>
      <c r="F8" s="353"/>
      <c r="G8" s="352"/>
      <c r="H8" s="352"/>
    </row>
    <row r="9" spans="1:8" ht="20.25" customHeight="1">
      <c r="A9" s="351"/>
      <c r="B9" s="351" t="s">
        <v>126</v>
      </c>
      <c r="C9" s="351" t="s">
        <v>127</v>
      </c>
      <c r="D9" s="351">
        <v>11</v>
      </c>
      <c r="E9" s="351"/>
      <c r="F9" s="353"/>
      <c r="G9" s="352"/>
      <c r="H9" s="352"/>
    </row>
    <row r="10" spans="1:8" ht="20.25" customHeight="1">
      <c r="A10" s="351"/>
      <c r="B10" s="351" t="s">
        <v>128</v>
      </c>
      <c r="C10" s="351"/>
      <c r="D10" s="351"/>
      <c r="E10" s="351"/>
      <c r="F10" s="351"/>
      <c r="G10" s="352"/>
      <c r="H10" s="352"/>
    </row>
    <row r="11" spans="1:8" ht="20.25" customHeight="1">
      <c r="A11" s="351"/>
      <c r="B11" s="351" t="s">
        <v>129</v>
      </c>
      <c r="C11" s="351"/>
      <c r="D11" s="351"/>
      <c r="E11" s="351"/>
      <c r="F11" s="351"/>
      <c r="G11" s="352"/>
      <c r="H11" s="352"/>
    </row>
    <row r="12" spans="1:8" ht="20.25" customHeight="1" hidden="1">
      <c r="A12" s="351" t="s">
        <v>13</v>
      </c>
      <c r="B12" s="351" t="s">
        <v>130</v>
      </c>
      <c r="C12" s="351"/>
      <c r="D12" s="351"/>
      <c r="E12" s="351"/>
      <c r="F12" s="351"/>
      <c r="G12" s="352"/>
      <c r="H12" s="352">
        <f>SUM(H13:H14)</f>
        <v>0</v>
      </c>
    </row>
    <row r="13" spans="1:8" ht="20.25" customHeight="1" hidden="1">
      <c r="A13" s="351"/>
      <c r="B13" s="351" t="s">
        <v>131</v>
      </c>
      <c r="C13" s="351" t="s">
        <v>75</v>
      </c>
      <c r="D13" s="351">
        <v>19.6</v>
      </c>
      <c r="E13" s="351"/>
      <c r="F13" s="354">
        <v>120</v>
      </c>
      <c r="G13" s="352"/>
      <c r="H13" s="352"/>
    </row>
    <row r="14" spans="1:8" ht="20.25" customHeight="1" hidden="1">
      <c r="A14" s="351"/>
      <c r="B14" s="351" t="s">
        <v>132</v>
      </c>
      <c r="C14" s="351" t="s">
        <v>133</v>
      </c>
      <c r="D14" s="351">
        <v>168</v>
      </c>
      <c r="E14" s="351"/>
      <c r="F14" s="351">
        <v>200</v>
      </c>
      <c r="G14" s="352"/>
      <c r="H14" s="352"/>
    </row>
    <row r="15" spans="1:8" ht="20.25" customHeight="1" hidden="1">
      <c r="A15" s="351"/>
      <c r="B15" s="351" t="s">
        <v>128</v>
      </c>
      <c r="C15" s="351"/>
      <c r="D15" s="351"/>
      <c r="E15" s="351"/>
      <c r="F15" s="351"/>
      <c r="G15" s="352"/>
      <c r="H15" s="352"/>
    </row>
    <row r="16" spans="1:8" ht="20.25" customHeight="1" hidden="1">
      <c r="A16" s="351"/>
      <c r="B16" s="351" t="s">
        <v>129</v>
      </c>
      <c r="C16" s="351"/>
      <c r="D16" s="351"/>
      <c r="E16" s="351"/>
      <c r="F16" s="351"/>
      <c r="G16" s="352"/>
      <c r="H16" s="352"/>
    </row>
    <row r="17" spans="1:8" ht="20.25" customHeight="1" hidden="1">
      <c r="A17" s="351" t="s">
        <v>21</v>
      </c>
      <c r="B17" s="351" t="s">
        <v>134</v>
      </c>
      <c r="C17" s="351"/>
      <c r="D17" s="351"/>
      <c r="E17" s="351"/>
      <c r="F17" s="351"/>
      <c r="G17" s="352"/>
      <c r="H17" s="352"/>
    </row>
    <row r="18" spans="1:8" ht="20.25" customHeight="1" hidden="1">
      <c r="A18" s="351"/>
      <c r="B18" s="351" t="s">
        <v>135</v>
      </c>
      <c r="C18" s="351" t="s">
        <v>133</v>
      </c>
      <c r="D18" s="351">
        <v>63</v>
      </c>
      <c r="E18" s="351"/>
      <c r="F18" s="354">
        <v>200</v>
      </c>
      <c r="G18" s="352"/>
      <c r="H18" s="352"/>
    </row>
    <row r="19" spans="1:8" ht="20.25" customHeight="1" hidden="1">
      <c r="A19" s="351"/>
      <c r="B19" s="351" t="s">
        <v>136</v>
      </c>
      <c r="C19" s="351" t="s">
        <v>111</v>
      </c>
      <c r="D19" s="351">
        <v>0</v>
      </c>
      <c r="E19" s="351"/>
      <c r="F19" s="353">
        <f>SUM('补人工单位价'!F24)</f>
        <v>121.569000588</v>
      </c>
      <c r="G19" s="352"/>
      <c r="H19" s="352"/>
    </row>
    <row r="20" spans="1:8" ht="20.25" customHeight="1" hidden="1">
      <c r="A20" s="351"/>
      <c r="B20" s="351" t="s">
        <v>137</v>
      </c>
      <c r="C20" s="351" t="s">
        <v>111</v>
      </c>
      <c r="D20" s="351">
        <v>22.1</v>
      </c>
      <c r="E20" s="351"/>
      <c r="F20" s="353">
        <f>SUM('补人工单位价'!F24)</f>
        <v>121.569000588</v>
      </c>
      <c r="G20" s="352"/>
      <c r="H20" s="352"/>
    </row>
    <row r="21" spans="1:8" ht="20.25" customHeight="1" hidden="1">
      <c r="A21" s="351"/>
      <c r="B21" s="351" t="s">
        <v>128</v>
      </c>
      <c r="C21" s="351"/>
      <c r="D21" s="351"/>
      <c r="E21" s="351"/>
      <c r="F21" s="351"/>
      <c r="G21" s="352"/>
      <c r="H21" s="352"/>
    </row>
    <row r="22" spans="1:8" ht="14.25" hidden="1">
      <c r="A22" s="21"/>
      <c r="B22" s="351" t="s">
        <v>129</v>
      </c>
      <c r="C22" s="21"/>
      <c r="D22" s="21"/>
      <c r="E22" s="21"/>
      <c r="F22" s="21"/>
      <c r="G22" s="21"/>
      <c r="H22" s="352"/>
    </row>
    <row r="23" spans="1:8" ht="14.25" hidden="1">
      <c r="A23" s="351" t="s">
        <v>60</v>
      </c>
      <c r="B23" s="351" t="s">
        <v>138</v>
      </c>
      <c r="C23" s="351" t="s">
        <v>139</v>
      </c>
      <c r="D23" s="351">
        <v>1</v>
      </c>
      <c r="E23" s="21"/>
      <c r="F23" s="21"/>
      <c r="G23" s="21"/>
      <c r="H23" s="352"/>
    </row>
    <row r="24" spans="1:8" ht="14.25" hidden="1">
      <c r="A24" s="21"/>
      <c r="B24" s="351" t="s">
        <v>128</v>
      </c>
      <c r="C24" s="351"/>
      <c r="D24" s="351"/>
      <c r="E24" s="351"/>
      <c r="F24" s="351"/>
      <c r="G24" s="352"/>
      <c r="H24" s="352"/>
    </row>
    <row r="25" spans="1:8" ht="14.25" hidden="1">
      <c r="A25" s="21"/>
      <c r="B25" s="351" t="s">
        <v>129</v>
      </c>
      <c r="C25" s="21"/>
      <c r="D25" s="21"/>
      <c r="E25" s="21"/>
      <c r="F25" s="21"/>
      <c r="G25" s="21"/>
      <c r="H25" s="21"/>
    </row>
  </sheetData>
  <sheetProtection/>
  <mergeCells count="7">
    <mergeCell ref="A2:H2"/>
    <mergeCell ref="E4:F4"/>
    <mergeCell ref="G4:H4"/>
    <mergeCell ref="A4:A5"/>
    <mergeCell ref="B4:B5"/>
    <mergeCell ref="C4:C5"/>
    <mergeCell ref="D4:D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alignWithMargins="0">
    <oddFooter>&amp;C-&amp;P--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5"/>
  </sheetPr>
  <dimension ref="A1:F33"/>
  <sheetViews>
    <sheetView workbookViewId="0" topLeftCell="A1">
      <selection activeCell="D32" sqref="D32"/>
    </sheetView>
  </sheetViews>
  <sheetFormatPr defaultColWidth="8.75390625" defaultRowHeight="19.5" customHeight="1"/>
  <cols>
    <col min="1" max="1" width="7.12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269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221" t="s">
        <v>161</v>
      </c>
      <c r="B3" s="472" t="s">
        <v>472</v>
      </c>
      <c r="C3" s="472"/>
      <c r="D3" s="472"/>
      <c r="E3" s="221" t="s">
        <v>38</v>
      </c>
      <c r="F3" s="180" t="s">
        <v>473</v>
      </c>
    </row>
    <row r="4" spans="1:6" ht="21" customHeight="1">
      <c r="A4" s="221" t="s">
        <v>251</v>
      </c>
      <c r="B4" s="472" t="s">
        <v>474</v>
      </c>
      <c r="C4" s="472"/>
      <c r="D4" s="472"/>
      <c r="E4" s="221" t="s">
        <v>43</v>
      </c>
      <c r="F4" s="29" t="s">
        <v>345</v>
      </c>
    </row>
    <row r="5" spans="1:6" ht="16.5" customHeight="1">
      <c r="A5" s="473" t="s">
        <v>466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F10+F27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F11+F16+F20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10692.020700000001</v>
      </c>
    </row>
    <row r="12" spans="1:6" ht="19.5" customHeight="1">
      <c r="A12" s="227"/>
      <c r="B12" s="227" t="s">
        <v>262</v>
      </c>
      <c r="C12" s="227" t="s">
        <v>291</v>
      </c>
      <c r="D12" s="228">
        <v>25.8</v>
      </c>
      <c r="E12" s="228">
        <f>'工长'!G20</f>
        <v>11.98</v>
      </c>
      <c r="F12" s="229">
        <f>D12*E12</f>
        <v>309.084</v>
      </c>
    </row>
    <row r="13" spans="1:6" ht="19.5" customHeight="1">
      <c r="A13" s="227"/>
      <c r="B13" s="227" t="s">
        <v>264</v>
      </c>
      <c r="C13" s="227" t="s">
        <v>291</v>
      </c>
      <c r="D13" s="228">
        <v>77.5</v>
      </c>
      <c r="E13" s="228">
        <f>'高级工'!G20</f>
        <v>11.09</v>
      </c>
      <c r="F13" s="229">
        <f>D13*E13</f>
        <v>859.475</v>
      </c>
    </row>
    <row r="14" spans="1:6" ht="19.5" customHeight="1">
      <c r="A14" s="227"/>
      <c r="B14" s="227" t="s">
        <v>265</v>
      </c>
      <c r="C14" s="227" t="s">
        <v>291</v>
      </c>
      <c r="D14" s="228">
        <f>491.1+126.2*1.05+37.6*1.05</f>
        <v>663.09</v>
      </c>
      <c r="E14" s="228">
        <f>'中级工'!G20</f>
        <v>9.33</v>
      </c>
      <c r="F14" s="229">
        <f>D14*E14</f>
        <v>6186.6297</v>
      </c>
    </row>
    <row r="15" spans="1:6" ht="19.5" customHeight="1">
      <c r="A15" s="227"/>
      <c r="B15" s="227" t="s">
        <v>266</v>
      </c>
      <c r="C15" s="227" t="s">
        <v>291</v>
      </c>
      <c r="D15" s="228">
        <f>267.1+167.2*1.05+30.8*1.05+32.8*1.05</f>
        <v>509.44</v>
      </c>
      <c r="E15" s="228">
        <f>'初级工'!G20</f>
        <v>6.55</v>
      </c>
      <c r="F15" s="229">
        <f>D15*E15</f>
        <v>3336.832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SUM(F17:F19)</f>
        <v>#REF!</v>
      </c>
    </row>
    <row r="17" spans="1:6" ht="19.5" customHeight="1">
      <c r="A17" s="227"/>
      <c r="B17" s="233" t="s">
        <v>304</v>
      </c>
      <c r="C17" s="222" t="s">
        <v>196</v>
      </c>
      <c r="D17" s="228">
        <v>105</v>
      </c>
      <c r="E17" s="228" t="e">
        <f>SUM(#REF!)</f>
        <v>#REF!</v>
      </c>
      <c r="F17" s="228" t="e">
        <f>D17*E17</f>
        <v>#REF!</v>
      </c>
    </row>
    <row r="18" spans="1:6" ht="19.5" customHeight="1">
      <c r="A18" s="227"/>
      <c r="B18" s="227" t="s">
        <v>278</v>
      </c>
      <c r="C18" s="222" t="s">
        <v>196</v>
      </c>
      <c r="D18" s="228">
        <v>187</v>
      </c>
      <c r="E18" s="228" t="e">
        <f>SUM(#REF!)</f>
        <v>#REF!</v>
      </c>
      <c r="F18" s="228" t="e">
        <f>D18*E18</f>
        <v>#REF!</v>
      </c>
    </row>
    <row r="19" spans="1:6" ht="19.5" customHeight="1">
      <c r="A19" s="227"/>
      <c r="B19" s="227" t="s">
        <v>293</v>
      </c>
      <c r="C19" s="227" t="s">
        <v>156</v>
      </c>
      <c r="D19" s="230">
        <v>3</v>
      </c>
      <c r="E19" s="232"/>
      <c r="F19" s="228" t="e">
        <f>(F17+F18)*0.03+32.8*1.05*E15*0.2+(37.6*1.05*E14+30.8*1.05*E15+F25)*0.05+(126.2*1.05*E14+167.2*1.05*E15+F23+F24)*0.02</f>
        <v>#REF!</v>
      </c>
    </row>
    <row r="20" spans="1:6" ht="19.5" customHeight="1">
      <c r="A20" s="227">
        <v>3</v>
      </c>
      <c r="B20" s="234" t="s">
        <v>164</v>
      </c>
      <c r="C20" s="222"/>
      <c r="D20" s="231"/>
      <c r="E20" s="232"/>
      <c r="F20" s="228" t="e">
        <f>SUM(F21:F26)</f>
        <v>#REF!</v>
      </c>
    </row>
    <row r="21" spans="1:6" ht="19.5" customHeight="1">
      <c r="A21" s="227"/>
      <c r="B21" s="227" t="s">
        <v>307</v>
      </c>
      <c r="C21" s="234" t="s">
        <v>179</v>
      </c>
      <c r="D21" s="228">
        <v>47.12</v>
      </c>
      <c r="E21" s="228" t="e">
        <f>SUM('台时-2'!C6)</f>
        <v>#REF!</v>
      </c>
      <c r="F21" s="228" t="e">
        <f>D21*E21</f>
        <v>#REF!</v>
      </c>
    </row>
    <row r="22" spans="1:6" ht="19.5" customHeight="1">
      <c r="A22" s="227"/>
      <c r="B22" s="234" t="s">
        <v>308</v>
      </c>
      <c r="C22" s="234" t="s">
        <v>179</v>
      </c>
      <c r="D22" s="228">
        <v>2.14</v>
      </c>
      <c r="E22" s="228" t="e">
        <f>SUM('台时-2'!C12)</f>
        <v>#REF!</v>
      </c>
      <c r="F22" s="228" t="e">
        <f>D22*E22</f>
        <v>#REF!</v>
      </c>
    </row>
    <row r="23" spans="1:6" ht="19.5" customHeight="1">
      <c r="A23" s="227"/>
      <c r="B23" s="234" t="s">
        <v>295</v>
      </c>
      <c r="C23" s="234" t="s">
        <v>179</v>
      </c>
      <c r="D23" s="228">
        <f>18.9*1.05</f>
        <v>19.845</v>
      </c>
      <c r="E23" s="228" t="e">
        <f>SUM('台时-1'!C27)</f>
        <v>#REF!</v>
      </c>
      <c r="F23" s="228" t="e">
        <f>D23*E23</f>
        <v>#REF!</v>
      </c>
    </row>
    <row r="24" spans="1:6" ht="19.5" customHeight="1">
      <c r="A24" s="227"/>
      <c r="B24" s="234" t="s">
        <v>227</v>
      </c>
      <c r="C24" s="234" t="s">
        <v>179</v>
      </c>
      <c r="D24" s="228">
        <f>87.15*1.05</f>
        <v>91.50750000000001</v>
      </c>
      <c r="E24" s="228">
        <f>SUM('台时-2'!C22)</f>
        <v>0.8172444588779735</v>
      </c>
      <c r="F24" s="228">
        <f>D24*E24</f>
        <v>74.78399732077617</v>
      </c>
    </row>
    <row r="25" spans="1:6" ht="19.5" customHeight="1">
      <c r="A25" s="227"/>
      <c r="B25" s="234" t="s">
        <v>309</v>
      </c>
      <c r="C25" s="234" t="s">
        <v>179</v>
      </c>
      <c r="D25" s="228">
        <f>20.32*1.05</f>
        <v>21.336000000000002</v>
      </c>
      <c r="E25" s="228">
        <f>SUM('台时-4'!C23)</f>
        <v>18.812912072744986</v>
      </c>
      <c r="F25" s="228">
        <f>D25*E25</f>
        <v>401.3922919840871</v>
      </c>
    </row>
    <row r="26" spans="1:6" ht="19.5" customHeight="1">
      <c r="A26" s="227"/>
      <c r="B26" s="234" t="s">
        <v>310</v>
      </c>
      <c r="C26" s="227" t="s">
        <v>156</v>
      </c>
      <c r="D26" s="231">
        <v>20</v>
      </c>
      <c r="E26" s="232"/>
      <c r="F26" s="228" t="e">
        <f>(F21+F22)*D26/100</f>
        <v>#REF!</v>
      </c>
    </row>
    <row r="27" spans="1:6" ht="19.5" customHeight="1">
      <c r="A27" s="227" t="s">
        <v>57</v>
      </c>
      <c r="B27" s="227" t="s">
        <v>165</v>
      </c>
      <c r="C27" s="227" t="s">
        <v>156</v>
      </c>
      <c r="D27" s="235">
        <v>7.6</v>
      </c>
      <c r="E27" s="235"/>
      <c r="F27" s="238" t="e">
        <f>F10*D27/100</f>
        <v>#REF!</v>
      </c>
    </row>
    <row r="28" spans="1:6" ht="19.5" customHeight="1">
      <c r="A28" s="227" t="s">
        <v>13</v>
      </c>
      <c r="B28" s="227" t="s">
        <v>166</v>
      </c>
      <c r="C28" s="227" t="s">
        <v>156</v>
      </c>
      <c r="D28" s="235">
        <v>8.5</v>
      </c>
      <c r="E28" s="235"/>
      <c r="F28" s="238" t="e">
        <f>F9*D28/100</f>
        <v>#REF!</v>
      </c>
    </row>
    <row r="29" spans="1:6" ht="19.5" customHeight="1">
      <c r="A29" s="227" t="s">
        <v>21</v>
      </c>
      <c r="B29" s="227" t="s">
        <v>296</v>
      </c>
      <c r="C29" s="227" t="s">
        <v>156</v>
      </c>
      <c r="D29" s="235">
        <v>7</v>
      </c>
      <c r="E29" s="235"/>
      <c r="F29" s="238" t="e">
        <f>(F9+F28)*D29/100</f>
        <v>#REF!</v>
      </c>
    </row>
    <row r="30" spans="1:6" ht="19.5" customHeight="1">
      <c r="A30" s="227" t="s">
        <v>60</v>
      </c>
      <c r="B30" s="227" t="s">
        <v>297</v>
      </c>
      <c r="C30" s="227"/>
      <c r="D30" s="235"/>
      <c r="E30" s="235"/>
      <c r="F30" s="238" t="e">
        <f>SUM(D17*#REF!*(#REF!-255)+D17*#REF!*(#REF!-70)+D17*#REF!*(#REF!-70)+D25*'台时-4'!J23/1000*(#REF!-2990))</f>
        <v>#REF!</v>
      </c>
    </row>
    <row r="31" spans="1:6" ht="19.5" customHeight="1">
      <c r="A31" s="227" t="s">
        <v>62</v>
      </c>
      <c r="B31" s="227" t="s">
        <v>167</v>
      </c>
      <c r="C31" s="227" t="s">
        <v>156</v>
      </c>
      <c r="D31" s="235">
        <v>10</v>
      </c>
      <c r="E31" s="235"/>
      <c r="F31" s="238" t="e">
        <f>(F9+F28+F29+F30)*D31/100</f>
        <v>#REF!</v>
      </c>
    </row>
    <row r="32" spans="1:6" ht="19.5" customHeight="1">
      <c r="A32" s="235"/>
      <c r="B32" s="228" t="s">
        <v>276</v>
      </c>
      <c r="C32" s="235"/>
      <c r="D32" s="235"/>
      <c r="E32" s="235"/>
      <c r="F32" s="238" t="e">
        <f>F9+F28+F29+F30+F31</f>
        <v>#REF!</v>
      </c>
    </row>
    <row r="33" spans="1:6" ht="19.5" customHeight="1" hidden="1">
      <c r="A33" s="239"/>
      <c r="B33" s="240" t="s">
        <v>275</v>
      </c>
      <c r="C33" s="241"/>
      <c r="D33" s="241"/>
      <c r="E33" s="241"/>
      <c r="F33" s="242" t="e">
        <f>F32/100</f>
        <v>#REF!</v>
      </c>
    </row>
  </sheetData>
  <sheetProtection/>
  <mergeCells count="4">
    <mergeCell ref="A1:F1"/>
    <mergeCell ref="B3:D3"/>
    <mergeCell ref="B4:D4"/>
    <mergeCell ref="A5:F7"/>
  </mergeCells>
  <printOptions/>
  <pageMargins left="0.9448818897637796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&amp;C-&amp;P--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5"/>
  </sheetPr>
  <dimension ref="A1:F35"/>
  <sheetViews>
    <sheetView workbookViewId="0" topLeftCell="A18">
      <selection activeCell="B25" sqref="B25"/>
    </sheetView>
  </sheetViews>
  <sheetFormatPr defaultColWidth="8.75390625" defaultRowHeight="19.5" customHeight="1"/>
  <cols>
    <col min="1" max="1" width="6.7539062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269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221" t="s">
        <v>161</v>
      </c>
      <c r="B3" s="498" t="s">
        <v>172</v>
      </c>
      <c r="C3" s="499"/>
      <c r="D3" s="500"/>
      <c r="E3" s="221" t="s">
        <v>38</v>
      </c>
      <c r="F3" s="180" t="s">
        <v>475</v>
      </c>
    </row>
    <row r="4" spans="1:6" ht="27.75" customHeight="1">
      <c r="A4" s="221" t="s">
        <v>251</v>
      </c>
      <c r="B4" s="501" t="s">
        <v>476</v>
      </c>
      <c r="C4" s="502"/>
      <c r="D4" s="503"/>
      <c r="E4" s="221" t="s">
        <v>43</v>
      </c>
      <c r="F4" s="29" t="s">
        <v>345</v>
      </c>
    </row>
    <row r="5" spans="1:6" ht="16.5" customHeight="1">
      <c r="A5" s="463" t="s">
        <v>477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25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F10+F27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F11+F16+F20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8664.5004</v>
      </c>
    </row>
    <row r="12" spans="1:6" ht="19.5" customHeight="1">
      <c r="A12" s="227"/>
      <c r="B12" s="227" t="s">
        <v>262</v>
      </c>
      <c r="C12" s="227" t="s">
        <v>291</v>
      </c>
      <c r="D12" s="228">
        <f>13.5</f>
        <v>13.5</v>
      </c>
      <c r="E12" s="228">
        <f>'工长'!G20</f>
        <v>11.98</v>
      </c>
      <c r="F12" s="229">
        <f>D12*E12</f>
        <v>161.73000000000002</v>
      </c>
    </row>
    <row r="13" spans="1:6" ht="19.5" customHeight="1">
      <c r="A13" s="227"/>
      <c r="B13" s="227" t="s">
        <v>264</v>
      </c>
      <c r="C13" s="227" t="s">
        <v>291</v>
      </c>
      <c r="D13" s="228">
        <f>91.6</f>
        <v>91.6</v>
      </c>
      <c r="E13" s="228">
        <f>'高级工'!G20</f>
        <v>11.09</v>
      </c>
      <c r="F13" s="229">
        <f>D13*E13</f>
        <v>1015.8439999999999</v>
      </c>
    </row>
    <row r="14" spans="1:6" ht="19.5" customHeight="1">
      <c r="A14" s="227"/>
      <c r="B14" s="227" t="s">
        <v>265</v>
      </c>
      <c r="C14" s="227" t="s">
        <v>291</v>
      </c>
      <c r="D14" s="228">
        <f>252.9+122.5*1.03+36.5*1.03</f>
        <v>416.66999999999996</v>
      </c>
      <c r="E14" s="228">
        <f>'中级工'!G20</f>
        <v>9.33</v>
      </c>
      <c r="F14" s="229">
        <f>D14*E14</f>
        <v>3887.5310999999997</v>
      </c>
    </row>
    <row r="15" spans="1:6" ht="19.5" customHeight="1">
      <c r="A15" s="227"/>
      <c r="B15" s="227" t="s">
        <v>266</v>
      </c>
      <c r="C15" s="227" t="s">
        <v>291</v>
      </c>
      <c r="D15" s="228">
        <f>153.5+165.1+162.4*1.03+29.9*1.03+31.9*1.03</f>
        <v>549.5260000000001</v>
      </c>
      <c r="E15" s="228">
        <f>'初级工'!G20</f>
        <v>6.55</v>
      </c>
      <c r="F15" s="229">
        <f>D15*E15</f>
        <v>3599.3953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SUM(F17:F19)</f>
        <v>#REF!</v>
      </c>
    </row>
    <row r="17" spans="1:6" ht="19.5" customHeight="1">
      <c r="A17" s="227"/>
      <c r="B17" s="233" t="s">
        <v>304</v>
      </c>
      <c r="C17" s="222" t="s">
        <v>196</v>
      </c>
      <c r="D17" s="228">
        <v>103</v>
      </c>
      <c r="E17" s="228" t="e">
        <f>SUM(#REF!)</f>
        <v>#REF!</v>
      </c>
      <c r="F17" s="228" t="e">
        <f>D17*E17</f>
        <v>#REF!</v>
      </c>
    </row>
    <row r="18" spans="1:6" ht="19.5" customHeight="1">
      <c r="A18" s="227"/>
      <c r="B18" s="227" t="s">
        <v>278</v>
      </c>
      <c r="C18" s="222" t="s">
        <v>196</v>
      </c>
      <c r="D18" s="228">
        <v>160</v>
      </c>
      <c r="E18" s="228" t="e">
        <f>SUM(#REF!)</f>
        <v>#REF!</v>
      </c>
      <c r="F18" s="228" t="e">
        <f>D18*E18</f>
        <v>#REF!</v>
      </c>
    </row>
    <row r="19" spans="1:6" ht="19.5" customHeight="1">
      <c r="A19" s="227"/>
      <c r="B19" s="227" t="s">
        <v>293</v>
      </c>
      <c r="C19" s="227" t="s">
        <v>156</v>
      </c>
      <c r="D19" s="230">
        <v>2</v>
      </c>
      <c r="E19" s="232"/>
      <c r="F19" s="228" t="e">
        <f>(F17+F18)*0.02+32.8*1.07*E15*0.2+(37.6*1.07*E14+30.8*1.07*E15+F25)*0.05+(126.2*1.07*E14+167.2*1.07*E15+F23+F24)*0.02</f>
        <v>#REF!</v>
      </c>
    </row>
    <row r="20" spans="1:6" ht="19.5" customHeight="1">
      <c r="A20" s="227">
        <v>3</v>
      </c>
      <c r="B20" s="234" t="s">
        <v>164</v>
      </c>
      <c r="C20" s="222"/>
      <c r="D20" s="231"/>
      <c r="E20" s="232"/>
      <c r="F20" s="228" t="e">
        <f>SUM(F21:F26)</f>
        <v>#REF!</v>
      </c>
    </row>
    <row r="21" spans="1:6" ht="19.5" customHeight="1">
      <c r="A21" s="227"/>
      <c r="B21" s="227" t="s">
        <v>307</v>
      </c>
      <c r="C21" s="234" t="s">
        <v>179</v>
      </c>
      <c r="D21" s="228">
        <v>49.5</v>
      </c>
      <c r="E21" s="228" t="e">
        <f>SUM('台时-2'!C6)</f>
        <v>#REF!</v>
      </c>
      <c r="F21" s="228" t="e">
        <f>D21*E21</f>
        <v>#REF!</v>
      </c>
    </row>
    <row r="22" spans="1:6" ht="19.5" customHeight="1">
      <c r="A22" s="227"/>
      <c r="B22" s="234" t="s">
        <v>308</v>
      </c>
      <c r="C22" s="234" t="s">
        <v>179</v>
      </c>
      <c r="D22" s="228">
        <v>12.36</v>
      </c>
      <c r="E22" s="228" t="e">
        <f>SUM('台时-2'!C12)</f>
        <v>#REF!</v>
      </c>
      <c r="F22" s="228" t="e">
        <f>D22*E22</f>
        <v>#REF!</v>
      </c>
    </row>
    <row r="23" spans="1:6" ht="19.5" customHeight="1">
      <c r="A23" s="227"/>
      <c r="B23" s="234" t="s">
        <v>295</v>
      </c>
      <c r="C23" s="234" t="s">
        <v>179</v>
      </c>
      <c r="D23" s="228">
        <f>188*1.03</f>
        <v>193.64000000000001</v>
      </c>
      <c r="E23" s="228" t="e">
        <f>SUM('台时-1'!C27)</f>
        <v>#REF!</v>
      </c>
      <c r="F23" s="228" t="e">
        <f>D23*E23</f>
        <v>#REF!</v>
      </c>
    </row>
    <row r="24" spans="1:6" ht="19.5" customHeight="1">
      <c r="A24" s="227"/>
      <c r="B24" s="234" t="s">
        <v>227</v>
      </c>
      <c r="C24" s="234" t="s">
        <v>179</v>
      </c>
      <c r="D24" s="228">
        <f>83*1.03</f>
        <v>85.49000000000001</v>
      </c>
      <c r="E24" s="228">
        <f>SUM('台时-2'!C22)</f>
        <v>0.8172444588779735</v>
      </c>
      <c r="F24" s="228">
        <f>D24*E24</f>
        <v>69.86622878947796</v>
      </c>
    </row>
    <row r="25" spans="1:6" ht="19.5" customHeight="1">
      <c r="A25" s="227"/>
      <c r="B25" s="234" t="s">
        <v>309</v>
      </c>
      <c r="C25" s="234" t="s">
        <v>179</v>
      </c>
      <c r="D25" s="228">
        <f>19.35*1.03</f>
        <v>19.930500000000002</v>
      </c>
      <c r="E25" s="228">
        <f>SUM('台时-4'!C23)</f>
        <v>18.812912072744986</v>
      </c>
      <c r="F25" s="228">
        <f>D25*E25</f>
        <v>374.950744065844</v>
      </c>
    </row>
    <row r="26" spans="1:6" ht="19.5" customHeight="1">
      <c r="A26" s="227"/>
      <c r="B26" s="234" t="s">
        <v>310</v>
      </c>
      <c r="C26" s="227" t="s">
        <v>156</v>
      </c>
      <c r="D26" s="231">
        <v>13</v>
      </c>
      <c r="E26" s="232"/>
      <c r="F26" s="228" t="e">
        <f>(F21+F22)*D26/100</f>
        <v>#REF!</v>
      </c>
    </row>
    <row r="27" spans="1:6" ht="19.5" customHeight="1">
      <c r="A27" s="227" t="s">
        <v>57</v>
      </c>
      <c r="B27" s="227" t="s">
        <v>165</v>
      </c>
      <c r="C27" s="227" t="s">
        <v>156</v>
      </c>
      <c r="D27" s="235">
        <v>10</v>
      </c>
      <c r="E27" s="235"/>
      <c r="F27" s="238" t="e">
        <f>F10*D27/100</f>
        <v>#REF!</v>
      </c>
    </row>
    <row r="28" spans="1:6" ht="19.5" customHeight="1">
      <c r="A28" s="227" t="s">
        <v>13</v>
      </c>
      <c r="B28" s="227" t="s">
        <v>166</v>
      </c>
      <c r="C28" s="227" t="s">
        <v>156</v>
      </c>
      <c r="D28" s="235">
        <v>9.5</v>
      </c>
      <c r="E28" s="235"/>
      <c r="F28" s="238" t="e">
        <f>F9*D28/100</f>
        <v>#REF!</v>
      </c>
    </row>
    <row r="29" spans="1:6" ht="19.5" customHeight="1">
      <c r="A29" s="227" t="s">
        <v>21</v>
      </c>
      <c r="B29" s="227" t="s">
        <v>296</v>
      </c>
      <c r="C29" s="227" t="s">
        <v>156</v>
      </c>
      <c r="D29" s="235">
        <v>7</v>
      </c>
      <c r="E29" s="235"/>
      <c r="F29" s="238" t="e">
        <f>(F9+F28)*D29/100</f>
        <v>#REF!</v>
      </c>
    </row>
    <row r="30" spans="1:6" ht="19.5" customHeight="1">
      <c r="A30" s="227" t="s">
        <v>60</v>
      </c>
      <c r="B30" s="227" t="s">
        <v>297</v>
      </c>
      <c r="C30" s="227"/>
      <c r="D30" s="235"/>
      <c r="E30" s="235"/>
      <c r="F30" s="238" t="e">
        <f>SUM(D17*#REF!*(#REF!-255)+D17*#REF!*(#REF!-70)+D17*#REF!*(#REF!-70)+D25*'台时-4'!J23/1000*(#REF!-2990))</f>
        <v>#REF!</v>
      </c>
    </row>
    <row r="31" spans="1:6" ht="19.5" customHeight="1">
      <c r="A31" s="227" t="s">
        <v>62</v>
      </c>
      <c r="B31" s="227" t="s">
        <v>167</v>
      </c>
      <c r="C31" s="227" t="s">
        <v>156</v>
      </c>
      <c r="D31" s="235">
        <v>9</v>
      </c>
      <c r="E31" s="235"/>
      <c r="F31" s="238" t="e">
        <f>(F9+F28+F29+F30)*D31/100</f>
        <v>#REF!</v>
      </c>
    </row>
    <row r="32" spans="1:6" ht="19.5" customHeight="1" hidden="1">
      <c r="A32" s="235"/>
      <c r="B32" s="235"/>
      <c r="C32" s="235"/>
      <c r="D32" s="235"/>
      <c r="E32" s="235"/>
      <c r="F32" s="238"/>
    </row>
    <row r="33" spans="1:6" ht="19.5" customHeight="1" hidden="1">
      <c r="A33" s="227"/>
      <c r="B33" s="227"/>
      <c r="C33" s="227"/>
      <c r="D33" s="227"/>
      <c r="E33" s="227"/>
      <c r="F33" s="228"/>
    </row>
    <row r="34" spans="1:6" ht="19.5" customHeight="1">
      <c r="A34" s="235"/>
      <c r="B34" s="228" t="s">
        <v>276</v>
      </c>
      <c r="C34" s="235"/>
      <c r="D34" s="235"/>
      <c r="E34" s="235"/>
      <c r="F34" s="238" t="e">
        <f>F9+F28+F29+F30+F31</f>
        <v>#REF!</v>
      </c>
    </row>
    <row r="35" spans="1:6" ht="19.5" customHeight="1" hidden="1">
      <c r="A35" s="243"/>
      <c r="B35" s="228" t="s">
        <v>275</v>
      </c>
      <c r="C35" s="227"/>
      <c r="D35" s="227"/>
      <c r="E35" s="227"/>
      <c r="F35" s="228" t="e">
        <f>F34/100</f>
        <v>#REF!</v>
      </c>
    </row>
  </sheetData>
  <sheetProtection/>
  <mergeCells count="4">
    <mergeCell ref="A1:F1"/>
    <mergeCell ref="B3:D3"/>
    <mergeCell ref="B4:D4"/>
    <mergeCell ref="A5:F7"/>
  </mergeCells>
  <printOptions/>
  <pageMargins left="0.9448818897637796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&amp;C-&amp;P--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5"/>
  </sheetPr>
  <dimension ref="A1:F36"/>
  <sheetViews>
    <sheetView workbookViewId="0" topLeftCell="A13">
      <selection activeCell="D35" sqref="D35"/>
    </sheetView>
  </sheetViews>
  <sheetFormatPr defaultColWidth="8.75390625" defaultRowHeight="19.5" customHeight="1"/>
  <cols>
    <col min="1" max="1" width="6.25390625" style="225" customWidth="1"/>
    <col min="2" max="2" width="20.00390625" style="225" customWidth="1"/>
    <col min="3" max="3" width="11.50390625" style="225" customWidth="1"/>
    <col min="4" max="4" width="11.125" style="225" customWidth="1"/>
    <col min="5" max="5" width="10.00390625" style="225" customWidth="1"/>
    <col min="6" max="6" width="16.00390625" style="225" customWidth="1"/>
    <col min="7" max="16384" width="8.75390625" style="225" customWidth="1"/>
  </cols>
  <sheetData>
    <row r="1" spans="1:6" ht="19.5" customHeight="1">
      <c r="A1" s="460" t="s">
        <v>269</v>
      </c>
      <c r="B1" s="460"/>
      <c r="C1" s="460"/>
      <c r="D1" s="460"/>
      <c r="E1" s="460"/>
      <c r="F1" s="460"/>
    </row>
    <row r="2" spans="1:6" ht="19.5" customHeight="1">
      <c r="A2" s="226"/>
      <c r="B2" s="226"/>
      <c r="C2" s="226"/>
      <c r="D2" s="226"/>
      <c r="E2" s="226"/>
      <c r="F2" s="226"/>
    </row>
    <row r="3" spans="1:6" ht="21" customHeight="1">
      <c r="A3" s="221" t="s">
        <v>161</v>
      </c>
      <c r="B3" s="498" t="s">
        <v>478</v>
      </c>
      <c r="C3" s="499"/>
      <c r="D3" s="500"/>
      <c r="E3" s="221" t="s">
        <v>38</v>
      </c>
      <c r="F3" s="180" t="s">
        <v>479</v>
      </c>
    </row>
    <row r="4" spans="1:6" ht="27.75" customHeight="1">
      <c r="A4" s="221" t="s">
        <v>251</v>
      </c>
      <c r="B4" s="501" t="s">
        <v>480</v>
      </c>
      <c r="C4" s="502"/>
      <c r="D4" s="503"/>
      <c r="E4" s="221" t="s">
        <v>43</v>
      </c>
      <c r="F4" s="29" t="s">
        <v>345</v>
      </c>
    </row>
    <row r="5" spans="1:6" ht="16.5" customHeight="1">
      <c r="A5" s="473" t="s">
        <v>466</v>
      </c>
      <c r="B5" s="464"/>
      <c r="C5" s="464"/>
      <c r="D5" s="464"/>
      <c r="E5" s="464"/>
      <c r="F5" s="464"/>
    </row>
    <row r="6" spans="1:6" ht="6.75" customHeight="1" hidden="1">
      <c r="A6" s="464"/>
      <c r="B6" s="464"/>
      <c r="C6" s="464"/>
      <c r="D6" s="464"/>
      <c r="E6" s="464"/>
      <c r="F6" s="464"/>
    </row>
    <row r="7" spans="1:6" ht="19.5" customHeight="1">
      <c r="A7" s="464"/>
      <c r="B7" s="464"/>
      <c r="C7" s="464"/>
      <c r="D7" s="464"/>
      <c r="E7" s="464"/>
      <c r="F7" s="464"/>
    </row>
    <row r="8" spans="1:6" ht="19.5" customHeight="1">
      <c r="A8" s="227" t="s">
        <v>2</v>
      </c>
      <c r="B8" s="227" t="s">
        <v>184</v>
      </c>
      <c r="C8" s="227" t="s">
        <v>274</v>
      </c>
      <c r="D8" s="227" t="s">
        <v>44</v>
      </c>
      <c r="E8" s="227" t="s">
        <v>275</v>
      </c>
      <c r="F8" s="227" t="s">
        <v>276</v>
      </c>
    </row>
    <row r="9" spans="1:6" ht="19.5" customHeight="1">
      <c r="A9" s="227" t="s">
        <v>11</v>
      </c>
      <c r="B9" s="227" t="s">
        <v>289</v>
      </c>
      <c r="C9" s="227"/>
      <c r="D9" s="228"/>
      <c r="E9" s="228"/>
      <c r="F9" s="229" t="e">
        <f>F10+F27</f>
        <v>#REF!</v>
      </c>
    </row>
    <row r="10" spans="1:6" ht="19.5" customHeight="1">
      <c r="A10" s="227" t="s">
        <v>49</v>
      </c>
      <c r="B10" s="227" t="s">
        <v>290</v>
      </c>
      <c r="C10" s="227"/>
      <c r="D10" s="227"/>
      <c r="E10" s="228"/>
      <c r="F10" s="229" t="e">
        <f>F11+F16+F20</f>
        <v>#REF!</v>
      </c>
    </row>
    <row r="11" spans="1:6" ht="19.5" customHeight="1">
      <c r="A11" s="227">
        <v>1</v>
      </c>
      <c r="B11" s="227" t="s">
        <v>162</v>
      </c>
      <c r="C11" s="227"/>
      <c r="D11" s="227"/>
      <c r="E11" s="228"/>
      <c r="F11" s="229">
        <f>SUM(F12:F15)</f>
        <v>7283.3060399999995</v>
      </c>
    </row>
    <row r="12" spans="1:6" ht="19.5" customHeight="1">
      <c r="A12" s="227"/>
      <c r="B12" s="227" t="s">
        <v>262</v>
      </c>
      <c r="C12" s="227" t="s">
        <v>291</v>
      </c>
      <c r="D12" s="227">
        <f>15.6*0.7+11.6*0.3</f>
        <v>14.4</v>
      </c>
      <c r="E12" s="228">
        <f>'工长'!G20</f>
        <v>11.98</v>
      </c>
      <c r="F12" s="229">
        <f>D12*E12</f>
        <v>172.512</v>
      </c>
    </row>
    <row r="13" spans="1:6" ht="19.5" customHeight="1">
      <c r="A13" s="227"/>
      <c r="B13" s="227" t="s">
        <v>264</v>
      </c>
      <c r="C13" s="227" t="s">
        <v>291</v>
      </c>
      <c r="D13" s="230">
        <f>26*0.7+19.2*0.3</f>
        <v>23.96</v>
      </c>
      <c r="E13" s="228">
        <f>'高级工'!G20</f>
        <v>11.09</v>
      </c>
      <c r="F13" s="229">
        <f>D13*E13</f>
        <v>265.7164</v>
      </c>
    </row>
    <row r="14" spans="1:6" ht="19.5" customHeight="1">
      <c r="A14" s="227"/>
      <c r="B14" s="227" t="s">
        <v>265</v>
      </c>
      <c r="C14" s="227" t="s">
        <v>291</v>
      </c>
      <c r="D14" s="230">
        <f>285.9*0.7+211.9*0.3+126.2*1.06+37.6*1.06</f>
        <v>437.328</v>
      </c>
      <c r="E14" s="228">
        <f>'中级工'!G20</f>
        <v>9.33</v>
      </c>
      <c r="F14" s="229">
        <f>D14*E14</f>
        <v>4080.27024</v>
      </c>
    </row>
    <row r="15" spans="1:6" ht="19.5" customHeight="1">
      <c r="A15" s="227"/>
      <c r="B15" s="227" t="s">
        <v>266</v>
      </c>
      <c r="C15" s="227" t="s">
        <v>291</v>
      </c>
      <c r="D15" s="230">
        <f>192.4*0.7+142.6*0.3+167.2*1.06+30.8*1.06+32.8*1.06</f>
        <v>422.10800000000006</v>
      </c>
      <c r="E15" s="228">
        <f>'初级工'!G20</f>
        <v>6.55</v>
      </c>
      <c r="F15" s="229">
        <f>D15*E15</f>
        <v>2764.8074</v>
      </c>
    </row>
    <row r="16" spans="1:6" ht="19.5" customHeight="1">
      <c r="A16" s="227">
        <v>2</v>
      </c>
      <c r="B16" s="227" t="s">
        <v>163</v>
      </c>
      <c r="C16" s="227"/>
      <c r="D16" s="231"/>
      <c r="E16" s="232"/>
      <c r="F16" s="228" t="e">
        <f>SUM(F17:F19)</f>
        <v>#REF!</v>
      </c>
    </row>
    <row r="17" spans="1:6" ht="19.5" customHeight="1">
      <c r="A17" s="227"/>
      <c r="B17" s="233" t="s">
        <v>304</v>
      </c>
      <c r="C17" s="222" t="s">
        <v>196</v>
      </c>
      <c r="D17" s="228">
        <v>106</v>
      </c>
      <c r="E17" s="228" t="e">
        <f>SUM(#REF!)</f>
        <v>#REF!</v>
      </c>
      <c r="F17" s="228" t="e">
        <f>D17*E17</f>
        <v>#REF!</v>
      </c>
    </row>
    <row r="18" spans="1:6" ht="19.5" customHeight="1">
      <c r="A18" s="227"/>
      <c r="B18" s="227" t="s">
        <v>278</v>
      </c>
      <c r="C18" s="222" t="s">
        <v>196</v>
      </c>
      <c r="D18" s="228">
        <f>68*0.7+48*0.3</f>
        <v>61.99999999999999</v>
      </c>
      <c r="E18" s="228" t="e">
        <f>#REF!</f>
        <v>#REF!</v>
      </c>
      <c r="F18" s="228" t="e">
        <f>D18*E18</f>
        <v>#REF!</v>
      </c>
    </row>
    <row r="19" spans="1:6" ht="19.5" customHeight="1">
      <c r="A19" s="227"/>
      <c r="B19" s="227" t="s">
        <v>293</v>
      </c>
      <c r="C19" s="227" t="s">
        <v>156</v>
      </c>
      <c r="D19" s="230"/>
      <c r="E19" s="232"/>
      <c r="F19" s="228" t="e">
        <f>(F17+F18)*0.005+32.8*1.06*E15*0.2+(37.6*1.06*E14+30.8*1.06*E15+F25)*0.05+(126.2*1.06*E14+167.2*1.06*E15+F23+F24)*0.02</f>
        <v>#REF!</v>
      </c>
    </row>
    <row r="20" spans="1:6" ht="19.5" customHeight="1">
      <c r="A20" s="227">
        <v>3</v>
      </c>
      <c r="B20" s="234" t="s">
        <v>164</v>
      </c>
      <c r="C20" s="222"/>
      <c r="D20" s="231"/>
      <c r="E20" s="232"/>
      <c r="F20" s="228" t="e">
        <f>SUM(F21:F26)</f>
        <v>#REF!</v>
      </c>
    </row>
    <row r="21" spans="1:6" ht="19.5" customHeight="1">
      <c r="A21" s="227"/>
      <c r="B21" s="227" t="s">
        <v>307</v>
      </c>
      <c r="C21" s="234" t="s">
        <v>179</v>
      </c>
      <c r="D21" s="228">
        <f>46.78*0.7+30.28*0.3</f>
        <v>41.83</v>
      </c>
      <c r="E21" s="228" t="e">
        <f>SUM('台时-2'!C6)</f>
        <v>#REF!</v>
      </c>
      <c r="F21" s="228" t="e">
        <f>D21*E21</f>
        <v>#REF!</v>
      </c>
    </row>
    <row r="22" spans="1:6" ht="19.5" customHeight="1">
      <c r="A22" s="227"/>
      <c r="B22" s="234" t="s">
        <v>308</v>
      </c>
      <c r="C22" s="234" t="s">
        <v>179</v>
      </c>
      <c r="D22" s="228">
        <f>29.76*0.7+19.45*0.3</f>
        <v>26.667</v>
      </c>
      <c r="E22" s="228" t="e">
        <f>SUM('台时-2'!C12)</f>
        <v>#REF!</v>
      </c>
      <c r="F22" s="228" t="e">
        <f>D22*E22</f>
        <v>#REF!</v>
      </c>
    </row>
    <row r="23" spans="1:6" ht="19.5" customHeight="1">
      <c r="A23" s="227"/>
      <c r="B23" s="234" t="s">
        <v>295</v>
      </c>
      <c r="C23" s="234" t="s">
        <v>179</v>
      </c>
      <c r="D23" s="228">
        <f>18.9*1.06</f>
        <v>20.034</v>
      </c>
      <c r="E23" s="228" t="e">
        <f>SUM('台时-1'!C27)</f>
        <v>#REF!</v>
      </c>
      <c r="F23" s="228" t="e">
        <f>D23*E23</f>
        <v>#REF!</v>
      </c>
    </row>
    <row r="24" spans="1:6" ht="19.5" customHeight="1">
      <c r="A24" s="227"/>
      <c r="B24" s="234" t="s">
        <v>227</v>
      </c>
      <c r="C24" s="234" t="s">
        <v>179</v>
      </c>
      <c r="D24" s="228">
        <f>87.15*1.06</f>
        <v>92.379</v>
      </c>
      <c r="E24" s="228">
        <f>SUM('台时-2'!C22)</f>
        <v>0.8172444588779735</v>
      </c>
      <c r="F24" s="228">
        <f>D24*E24</f>
        <v>75.49622586668832</v>
      </c>
    </row>
    <row r="25" spans="1:6" ht="19.5" customHeight="1">
      <c r="A25" s="227"/>
      <c r="B25" s="234" t="s">
        <v>309</v>
      </c>
      <c r="C25" s="234" t="s">
        <v>179</v>
      </c>
      <c r="D25" s="228">
        <f>20.32*1.06</f>
        <v>21.5392</v>
      </c>
      <c r="E25" s="228">
        <f>SUM('台时-4'!C23)</f>
        <v>18.812912072744986</v>
      </c>
      <c r="F25" s="228">
        <f>D25*E25</f>
        <v>405.2150757172688</v>
      </c>
    </row>
    <row r="26" spans="1:6" ht="19.5" customHeight="1">
      <c r="A26" s="235"/>
      <c r="B26" s="221" t="s">
        <v>310</v>
      </c>
      <c r="C26" s="227" t="s">
        <v>156</v>
      </c>
      <c r="D26" s="236">
        <v>10</v>
      </c>
      <c r="E26" s="237"/>
      <c r="F26" s="238" t="e">
        <f>(F21+F22)*D26/100</f>
        <v>#REF!</v>
      </c>
    </row>
    <row r="27" spans="1:6" ht="19.5" customHeight="1">
      <c r="A27" s="227" t="s">
        <v>57</v>
      </c>
      <c r="B27" s="227" t="s">
        <v>165</v>
      </c>
      <c r="C27" s="227" t="s">
        <v>156</v>
      </c>
      <c r="D27" s="235">
        <v>7.6</v>
      </c>
      <c r="E27" s="235"/>
      <c r="F27" s="238" t="e">
        <f>F10*D27/100</f>
        <v>#REF!</v>
      </c>
    </row>
    <row r="28" spans="1:6" ht="19.5" customHeight="1">
      <c r="A28" s="227" t="s">
        <v>13</v>
      </c>
      <c r="B28" s="227" t="s">
        <v>166</v>
      </c>
      <c r="C28" s="227" t="s">
        <v>156</v>
      </c>
      <c r="D28" s="235">
        <v>8.5</v>
      </c>
      <c r="E28" s="235"/>
      <c r="F28" s="238" t="e">
        <f>F9*D28/100</f>
        <v>#REF!</v>
      </c>
    </row>
    <row r="29" spans="1:6" ht="19.5" customHeight="1">
      <c r="A29" s="227" t="s">
        <v>21</v>
      </c>
      <c r="B29" s="227" t="s">
        <v>296</v>
      </c>
      <c r="C29" s="227" t="s">
        <v>156</v>
      </c>
      <c r="D29" s="235">
        <v>7</v>
      </c>
      <c r="E29" s="235"/>
      <c r="F29" s="238" t="e">
        <f>(F9+F28)*D29/100</f>
        <v>#REF!</v>
      </c>
    </row>
    <row r="30" spans="1:6" ht="19.5" customHeight="1">
      <c r="A30" s="227" t="s">
        <v>60</v>
      </c>
      <c r="B30" s="227" t="s">
        <v>297</v>
      </c>
      <c r="C30" s="227"/>
      <c r="D30" s="235"/>
      <c r="E30" s="235"/>
      <c r="F30" s="238" t="e">
        <f>SUM(D17*#REF!*(#REF!-255)+D17*#REF!*(#REF!-70)+D17*#REF!*(#REF!-70)+D25*'台时-4'!J23/1000*(#REF!-2990))</f>
        <v>#REF!</v>
      </c>
    </row>
    <row r="31" spans="1:6" ht="19.5" customHeight="1">
      <c r="A31" s="227" t="s">
        <v>62</v>
      </c>
      <c r="B31" s="227" t="s">
        <v>167</v>
      </c>
      <c r="C31" s="227" t="s">
        <v>156</v>
      </c>
      <c r="D31" s="235">
        <v>10</v>
      </c>
      <c r="E31" s="235"/>
      <c r="F31" s="238" t="e">
        <f>(F9+F28+F29+F30)*D31/100</f>
        <v>#REF!</v>
      </c>
    </row>
    <row r="32" spans="1:6" ht="19.5" customHeight="1" hidden="1">
      <c r="A32" s="227"/>
      <c r="B32" s="227"/>
      <c r="C32" s="227"/>
      <c r="D32" s="227"/>
      <c r="E32" s="227"/>
      <c r="F32" s="228"/>
    </row>
    <row r="33" spans="1:6" ht="19.5" customHeight="1" hidden="1">
      <c r="A33" s="227"/>
      <c r="B33" s="227"/>
      <c r="C33" s="227"/>
      <c r="D33" s="227"/>
      <c r="E33" s="227"/>
      <c r="F33" s="228"/>
    </row>
    <row r="34" spans="1:6" ht="19.5" customHeight="1" hidden="1">
      <c r="A34" s="227"/>
      <c r="B34" s="227"/>
      <c r="C34" s="227"/>
      <c r="D34" s="227"/>
      <c r="E34" s="227"/>
      <c r="F34" s="228"/>
    </row>
    <row r="35" spans="1:6" ht="19.5" customHeight="1">
      <c r="A35" s="235"/>
      <c r="B35" s="228" t="s">
        <v>276</v>
      </c>
      <c r="C35" s="235"/>
      <c r="D35" s="235"/>
      <c r="E35" s="235"/>
      <c r="F35" s="238" t="e">
        <f>F9+F28+F29+F30+F31</f>
        <v>#REF!</v>
      </c>
    </row>
    <row r="36" spans="1:6" ht="19.5" customHeight="1" hidden="1">
      <c r="A36" s="239"/>
      <c r="B36" s="240" t="s">
        <v>275</v>
      </c>
      <c r="C36" s="241"/>
      <c r="D36" s="241"/>
      <c r="E36" s="241"/>
      <c r="F36" s="242" t="e">
        <f>F35/100</f>
        <v>#REF!</v>
      </c>
    </row>
  </sheetData>
  <sheetProtection/>
  <mergeCells count="4">
    <mergeCell ref="A1:F1"/>
    <mergeCell ref="B3:D3"/>
    <mergeCell ref="B4:D4"/>
    <mergeCell ref="A5:F7"/>
  </mergeCells>
  <printOptions/>
  <pageMargins left="0.9448818897637796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&amp;C-&amp;P--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5"/>
  </sheetPr>
  <dimension ref="A1:F30"/>
  <sheetViews>
    <sheetView workbookViewId="0" topLeftCell="A10">
      <selection activeCell="D30" sqref="D30"/>
    </sheetView>
  </sheetViews>
  <sheetFormatPr defaultColWidth="8.625" defaultRowHeight="14.25"/>
  <cols>
    <col min="1" max="1" width="6.25390625" style="27" customWidth="1"/>
    <col min="2" max="2" width="23.37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5.1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39" t="s">
        <v>161</v>
      </c>
      <c r="B3" s="466" t="s">
        <v>174</v>
      </c>
      <c r="C3" s="466"/>
      <c r="D3" s="466"/>
      <c r="E3" s="39" t="s">
        <v>38</v>
      </c>
      <c r="F3" s="180" t="s">
        <v>481</v>
      </c>
    </row>
    <row r="4" spans="1:6" ht="21" customHeight="1">
      <c r="A4" s="39" t="s">
        <v>251</v>
      </c>
      <c r="B4" s="466">
        <v>40127</v>
      </c>
      <c r="C4" s="466"/>
      <c r="D4" s="466"/>
      <c r="E4" s="39" t="s">
        <v>43</v>
      </c>
      <c r="F4" s="39" t="s">
        <v>175</v>
      </c>
    </row>
    <row r="5" spans="1:6" ht="19.5" customHeight="1">
      <c r="A5" s="466" t="s">
        <v>482</v>
      </c>
      <c r="B5" s="466"/>
      <c r="C5" s="466"/>
      <c r="D5" s="466"/>
      <c r="E5" s="466"/>
      <c r="F5" s="466"/>
    </row>
    <row r="6" spans="1:6" ht="12.7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24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24" customHeight="1">
      <c r="A9" s="29" t="s">
        <v>11</v>
      </c>
      <c r="B9" s="29" t="s">
        <v>289</v>
      </c>
      <c r="C9" s="29"/>
      <c r="D9" s="31"/>
      <c r="E9" s="31"/>
      <c r="F9" s="32">
        <f>F10+F19</f>
        <v>10536.919914000002</v>
      </c>
    </row>
    <row r="10" spans="1:6" ht="24" customHeight="1">
      <c r="A10" s="29" t="s">
        <v>49</v>
      </c>
      <c r="B10" s="29" t="s">
        <v>290</v>
      </c>
      <c r="C10" s="29"/>
      <c r="D10" s="29"/>
      <c r="E10" s="31"/>
      <c r="F10" s="32">
        <f>F11+F16</f>
        <v>9792.676500000001</v>
      </c>
    </row>
    <row r="11" spans="1:6" ht="24" customHeight="1">
      <c r="A11" s="29">
        <v>1</v>
      </c>
      <c r="B11" s="29" t="s">
        <v>162</v>
      </c>
      <c r="C11" s="29"/>
      <c r="D11" s="33"/>
      <c r="E11" s="31"/>
      <c r="F11" s="32">
        <f>SUM(F12:F15)</f>
        <v>1555.7730000000001</v>
      </c>
    </row>
    <row r="12" spans="1:6" ht="24" customHeight="1">
      <c r="A12" s="29"/>
      <c r="B12" s="29" t="s">
        <v>262</v>
      </c>
      <c r="C12" s="29" t="s">
        <v>291</v>
      </c>
      <c r="D12" s="33">
        <v>8.4</v>
      </c>
      <c r="E12" s="31">
        <f>'工长'!G20</f>
        <v>11.98</v>
      </c>
      <c r="F12" s="32">
        <f>D12*E12</f>
        <v>100.632</v>
      </c>
    </row>
    <row r="13" spans="1:6" ht="24" customHeight="1">
      <c r="A13" s="29"/>
      <c r="B13" s="29" t="s">
        <v>264</v>
      </c>
      <c r="C13" s="29" t="s">
        <v>291</v>
      </c>
      <c r="D13" s="29">
        <v>58.9</v>
      </c>
      <c r="E13" s="31">
        <f>'高级工'!G20</f>
        <v>11.09</v>
      </c>
      <c r="F13" s="32">
        <f>D13*E13</f>
        <v>653.201</v>
      </c>
    </row>
    <row r="14" spans="1:6" ht="24" customHeight="1">
      <c r="A14" s="29"/>
      <c r="B14" s="29" t="s">
        <v>265</v>
      </c>
      <c r="C14" s="29" t="s">
        <v>291</v>
      </c>
      <c r="D14" s="33">
        <v>50.5</v>
      </c>
      <c r="E14" s="31">
        <f>'中级工'!G20</f>
        <v>9.33</v>
      </c>
      <c r="F14" s="32">
        <f>D14*E14</f>
        <v>471.165</v>
      </c>
    </row>
    <row r="15" spans="1:6" ht="24" customHeight="1">
      <c r="A15" s="29"/>
      <c r="B15" s="29" t="s">
        <v>266</v>
      </c>
      <c r="C15" s="29" t="s">
        <v>291</v>
      </c>
      <c r="D15" s="33">
        <v>50.5</v>
      </c>
      <c r="E15" s="31">
        <f>'初级工'!G20</f>
        <v>6.55</v>
      </c>
      <c r="F15" s="32">
        <f>D15*E15</f>
        <v>330.775</v>
      </c>
    </row>
    <row r="16" spans="1:6" ht="24" customHeight="1">
      <c r="A16" s="29">
        <v>2</v>
      </c>
      <c r="B16" s="29" t="s">
        <v>163</v>
      </c>
      <c r="C16" s="29"/>
      <c r="D16" s="34"/>
      <c r="E16" s="35"/>
      <c r="F16" s="31">
        <f>SUM(F17:F18)</f>
        <v>8236.9035</v>
      </c>
    </row>
    <row r="17" spans="1:6" ht="24" customHeight="1">
      <c r="A17" s="29"/>
      <c r="B17" s="39" t="s">
        <v>174</v>
      </c>
      <c r="C17" s="43" t="s">
        <v>75</v>
      </c>
      <c r="D17" s="31">
        <v>105</v>
      </c>
      <c r="E17" s="31">
        <v>77.67</v>
      </c>
      <c r="F17" s="31">
        <f>D17*E17</f>
        <v>8155.35</v>
      </c>
    </row>
    <row r="18" spans="1:6" ht="24" customHeight="1">
      <c r="A18" s="29"/>
      <c r="B18" s="29" t="s">
        <v>293</v>
      </c>
      <c r="C18" s="43" t="s">
        <v>156</v>
      </c>
      <c r="D18" s="34">
        <v>1</v>
      </c>
      <c r="E18" s="35"/>
      <c r="F18" s="31">
        <f>SUM(F17:F17)*D18/100</f>
        <v>81.5535</v>
      </c>
    </row>
    <row r="19" spans="1:6" ht="24" customHeight="1">
      <c r="A19" s="29" t="s">
        <v>57</v>
      </c>
      <c r="B19" s="29" t="s">
        <v>165</v>
      </c>
      <c r="C19" s="29" t="s">
        <v>156</v>
      </c>
      <c r="D19" s="29">
        <v>7.6</v>
      </c>
      <c r="E19" s="29"/>
      <c r="F19" s="31">
        <f>F10*D19/100</f>
        <v>744.243414</v>
      </c>
    </row>
    <row r="20" spans="1:6" ht="24" customHeight="1">
      <c r="A20" s="29" t="s">
        <v>13</v>
      </c>
      <c r="B20" s="29" t="s">
        <v>166</v>
      </c>
      <c r="C20" s="29" t="s">
        <v>156</v>
      </c>
      <c r="D20" s="29">
        <v>8.5</v>
      </c>
      <c r="E20" s="29"/>
      <c r="F20" s="31">
        <f>F9*D20/100</f>
        <v>895.6381926900001</v>
      </c>
    </row>
    <row r="21" spans="1:6" ht="24" customHeight="1">
      <c r="A21" s="29" t="s">
        <v>21</v>
      </c>
      <c r="B21" s="29" t="s">
        <v>296</v>
      </c>
      <c r="C21" s="29" t="s">
        <v>156</v>
      </c>
      <c r="D21" s="29">
        <v>7</v>
      </c>
      <c r="E21" s="29"/>
      <c r="F21" s="31">
        <f>(F9+F20)*D21/100</f>
        <v>800.2790674683</v>
      </c>
    </row>
    <row r="22" spans="1:6" ht="24" customHeight="1">
      <c r="A22" s="29" t="s">
        <v>60</v>
      </c>
      <c r="B22" s="29" t="s">
        <v>297</v>
      </c>
      <c r="C22" s="29"/>
      <c r="D22" s="29"/>
      <c r="E22" s="29"/>
      <c r="F22" s="31"/>
    </row>
    <row r="23" spans="1:6" ht="24" customHeight="1">
      <c r="A23" s="29" t="s">
        <v>62</v>
      </c>
      <c r="B23" s="29" t="s">
        <v>167</v>
      </c>
      <c r="C23" s="29" t="s">
        <v>156</v>
      </c>
      <c r="D23" s="29">
        <v>10</v>
      </c>
      <c r="E23" s="29"/>
      <c r="F23" s="31">
        <f>(F9+F20+F21+F22)*D23/100</f>
        <v>1223.28371741583</v>
      </c>
    </row>
    <row r="24" spans="1:6" ht="24" customHeight="1" hidden="1">
      <c r="A24" s="29"/>
      <c r="B24" s="39"/>
      <c r="C24" s="29"/>
      <c r="D24" s="29"/>
      <c r="E24" s="29"/>
      <c r="F24" s="31"/>
    </row>
    <row r="25" spans="1:6" ht="24" customHeight="1" hidden="1">
      <c r="A25" s="29"/>
      <c r="B25" s="39"/>
      <c r="C25" s="29"/>
      <c r="D25" s="29"/>
      <c r="E25" s="29"/>
      <c r="F25" s="31"/>
    </row>
    <row r="26" spans="1:6" ht="24" customHeight="1" hidden="1">
      <c r="A26" s="29"/>
      <c r="B26" s="31"/>
      <c r="C26" s="29"/>
      <c r="D26" s="29"/>
      <c r="E26" s="29"/>
      <c r="F26" s="31"/>
    </row>
    <row r="27" spans="1:6" ht="24" customHeight="1" hidden="1">
      <c r="A27" s="29"/>
      <c r="B27" s="31"/>
      <c r="C27" s="29"/>
      <c r="D27" s="29"/>
      <c r="E27" s="29"/>
      <c r="F27" s="31"/>
    </row>
    <row r="28" spans="1:6" ht="24" customHeight="1">
      <c r="A28" s="29"/>
      <c r="B28" s="31" t="s">
        <v>276</v>
      </c>
      <c r="C28" s="29"/>
      <c r="D28" s="29"/>
      <c r="E28" s="29"/>
      <c r="F28" s="31">
        <f>SUM(F9+F20+F21+F22+F23)</f>
        <v>13456.120891574132</v>
      </c>
    </row>
    <row r="29" spans="1:6" ht="24" customHeight="1" hidden="1">
      <c r="A29" s="29"/>
      <c r="B29" s="31" t="s">
        <v>275</v>
      </c>
      <c r="C29" s="29"/>
      <c r="D29" s="29"/>
      <c r="E29" s="29"/>
      <c r="F29" s="31">
        <f>F28/100</f>
        <v>134.5612089157413</v>
      </c>
    </row>
    <row r="30" spans="1:6" ht="24" customHeight="1">
      <c r="A30" s="44"/>
      <c r="B30" s="31"/>
      <c r="C30" s="223"/>
      <c r="D30" s="223"/>
      <c r="E30" s="223"/>
      <c r="F30" s="224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4">
    <mergeCell ref="A1:F1"/>
    <mergeCell ref="B3:D3"/>
    <mergeCell ref="B4:D4"/>
    <mergeCell ref="A5:F7"/>
  </mergeCells>
  <printOptions/>
  <pageMargins left="0.9448818897637796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&amp;C-&amp;P--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5"/>
  </sheetPr>
  <dimension ref="A1:F28"/>
  <sheetViews>
    <sheetView workbookViewId="0" topLeftCell="A10">
      <selection activeCell="E19" sqref="E19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36" customHeight="1">
      <c r="A1" s="504" t="s">
        <v>269</v>
      </c>
      <c r="B1" s="504"/>
      <c r="C1" s="504"/>
      <c r="D1" s="504"/>
      <c r="E1" s="504"/>
      <c r="F1" s="504"/>
    </row>
    <row r="2" spans="1:6" ht="21" customHeight="1">
      <c r="A2" s="221" t="s">
        <v>161</v>
      </c>
      <c r="B2" s="505" t="s">
        <v>144</v>
      </c>
      <c r="C2" s="506"/>
      <c r="D2" s="506"/>
      <c r="E2" s="221" t="s">
        <v>38</v>
      </c>
      <c r="F2" s="180" t="s">
        <v>483</v>
      </c>
    </row>
    <row r="3" spans="1:6" ht="21" customHeight="1">
      <c r="A3" s="221" t="s">
        <v>251</v>
      </c>
      <c r="B3" s="472">
        <v>90002</v>
      </c>
      <c r="C3" s="472"/>
      <c r="D3" s="472"/>
      <c r="E3" s="221" t="s">
        <v>43</v>
      </c>
      <c r="F3" s="29" t="s">
        <v>345</v>
      </c>
    </row>
    <row r="4" spans="1:6" ht="19.5" customHeight="1">
      <c r="A4" s="465" t="s">
        <v>484</v>
      </c>
      <c r="B4" s="466"/>
      <c r="C4" s="466"/>
      <c r="D4" s="466"/>
      <c r="E4" s="466"/>
      <c r="F4" s="466"/>
    </row>
    <row r="5" spans="1:6" ht="19.5" customHeight="1">
      <c r="A5" s="466"/>
      <c r="B5" s="466"/>
      <c r="C5" s="466"/>
      <c r="D5" s="466"/>
      <c r="E5" s="466"/>
      <c r="F5" s="466"/>
    </row>
    <row r="6" spans="1:6" ht="13.5" customHeight="1">
      <c r="A6" s="466"/>
      <c r="B6" s="466"/>
      <c r="C6" s="466"/>
      <c r="D6" s="466"/>
      <c r="E6" s="466"/>
      <c r="F6" s="466"/>
    </row>
    <row r="7" spans="1:6" ht="19.5" customHeight="1">
      <c r="A7" s="39" t="s">
        <v>2</v>
      </c>
      <c r="B7" s="39" t="s">
        <v>184</v>
      </c>
      <c r="C7" s="39" t="s">
        <v>274</v>
      </c>
      <c r="D7" s="39" t="s">
        <v>44</v>
      </c>
      <c r="E7" s="39" t="s">
        <v>275</v>
      </c>
      <c r="F7" s="39" t="s">
        <v>276</v>
      </c>
    </row>
    <row r="8" spans="1:6" ht="19.5" customHeight="1">
      <c r="A8" s="29" t="s">
        <v>11</v>
      </c>
      <c r="B8" s="29" t="s">
        <v>290</v>
      </c>
      <c r="C8" s="29"/>
      <c r="D8" s="31"/>
      <c r="E8" s="31"/>
      <c r="F8" s="32">
        <f>F9+F17</f>
        <v>7122.770329999999</v>
      </c>
    </row>
    <row r="9" spans="1:6" ht="19.5" customHeight="1">
      <c r="A9" s="29" t="s">
        <v>49</v>
      </c>
      <c r="B9" s="29" t="s">
        <v>314</v>
      </c>
      <c r="C9" s="29"/>
      <c r="D9" s="29"/>
      <c r="E9" s="31"/>
      <c r="F9" s="32">
        <f>F10+F13</f>
        <v>6445.945999999999</v>
      </c>
    </row>
    <row r="10" spans="1:6" ht="19.5" customHeight="1">
      <c r="A10" s="29">
        <v>1</v>
      </c>
      <c r="B10" s="29" t="s">
        <v>162</v>
      </c>
      <c r="C10" s="29"/>
      <c r="D10" s="29"/>
      <c r="E10" s="31"/>
      <c r="F10" s="32">
        <f>SUM(F11:F12)</f>
        <v>4779.445999999999</v>
      </c>
    </row>
    <row r="11" spans="1:6" ht="19.5" customHeight="1">
      <c r="A11" s="29"/>
      <c r="B11" s="29" t="s">
        <v>262</v>
      </c>
      <c r="C11" s="29" t="s">
        <v>291</v>
      </c>
      <c r="D11" s="29">
        <f>21*0.7</f>
        <v>14.7</v>
      </c>
      <c r="E11" s="31">
        <f>'工长'!G20</f>
        <v>11.98</v>
      </c>
      <c r="F11" s="31">
        <f>D11*E11</f>
        <v>176.106</v>
      </c>
    </row>
    <row r="12" spans="1:6" ht="19.5" customHeight="1">
      <c r="A12" s="29"/>
      <c r="B12" s="29" t="s">
        <v>266</v>
      </c>
      <c r="C12" s="29" t="s">
        <v>291</v>
      </c>
      <c r="D12" s="33">
        <f>1004*0.7</f>
        <v>702.8</v>
      </c>
      <c r="E12" s="31">
        <f>'初级工'!G20</f>
        <v>6.55</v>
      </c>
      <c r="F12" s="31">
        <f>D12*E12</f>
        <v>4603.339999999999</v>
      </c>
    </row>
    <row r="13" spans="1:6" ht="19.5" customHeight="1">
      <c r="A13" s="29">
        <v>2</v>
      </c>
      <c r="B13" s="29" t="s">
        <v>163</v>
      </c>
      <c r="C13" s="29"/>
      <c r="D13" s="33"/>
      <c r="E13" s="31"/>
      <c r="F13" s="31">
        <f>SUM(F14:F16)</f>
        <v>1666.5</v>
      </c>
    </row>
    <row r="14" spans="1:6" ht="19.5" customHeight="1">
      <c r="A14" s="29"/>
      <c r="B14" s="29" t="s">
        <v>485</v>
      </c>
      <c r="C14" s="222" t="s">
        <v>196</v>
      </c>
      <c r="D14" s="33">
        <v>118</v>
      </c>
      <c r="E14" s="31"/>
      <c r="F14" s="31">
        <f>D14*E14</f>
        <v>0</v>
      </c>
    </row>
    <row r="15" spans="1:6" ht="19.5" customHeight="1">
      <c r="A15" s="29"/>
      <c r="B15" s="29" t="s">
        <v>486</v>
      </c>
      <c r="C15" s="29" t="s">
        <v>302</v>
      </c>
      <c r="D15" s="33">
        <v>3300</v>
      </c>
      <c r="E15" s="31">
        <v>0.5</v>
      </c>
      <c r="F15" s="31">
        <f>D15*E15</f>
        <v>1650</v>
      </c>
    </row>
    <row r="16" spans="1:6" ht="19.5" customHeight="1">
      <c r="A16" s="29"/>
      <c r="B16" s="29" t="s">
        <v>315</v>
      </c>
      <c r="C16" s="29" t="s">
        <v>156</v>
      </c>
      <c r="D16" s="34">
        <v>1</v>
      </c>
      <c r="E16" s="35"/>
      <c r="F16" s="31">
        <f>SUM(F14:F15)*D16/100</f>
        <v>16.5</v>
      </c>
    </row>
    <row r="17" spans="1:6" ht="19.5" customHeight="1">
      <c r="A17" s="29" t="s">
        <v>57</v>
      </c>
      <c r="B17" s="29" t="s">
        <v>165</v>
      </c>
      <c r="C17" s="29" t="s">
        <v>156</v>
      </c>
      <c r="D17" s="29">
        <v>10.5</v>
      </c>
      <c r="E17" s="29"/>
      <c r="F17" s="31">
        <f>F9*D17/100</f>
        <v>676.8243299999999</v>
      </c>
    </row>
    <row r="18" spans="1:6" ht="19.5" customHeight="1">
      <c r="A18" s="29" t="s">
        <v>13</v>
      </c>
      <c r="B18" s="29" t="s">
        <v>166</v>
      </c>
      <c r="C18" s="29" t="s">
        <v>156</v>
      </c>
      <c r="D18" s="29">
        <v>9.5</v>
      </c>
      <c r="E18" s="29"/>
      <c r="F18" s="31">
        <f>F8*D18/100</f>
        <v>676.66318135</v>
      </c>
    </row>
    <row r="19" spans="1:6" ht="19.5" customHeight="1">
      <c r="A19" s="29" t="s">
        <v>21</v>
      </c>
      <c r="B19" s="29" t="s">
        <v>296</v>
      </c>
      <c r="C19" s="29" t="s">
        <v>156</v>
      </c>
      <c r="D19" s="29">
        <v>7</v>
      </c>
      <c r="E19" s="29"/>
      <c r="F19" s="31">
        <f>(F8+F18)*D19/100</f>
        <v>545.9603457945</v>
      </c>
    </row>
    <row r="20" spans="1:6" ht="19.5" customHeight="1">
      <c r="A20" s="29" t="s">
        <v>60</v>
      </c>
      <c r="B20" s="29" t="s">
        <v>297</v>
      </c>
      <c r="C20" s="29"/>
      <c r="D20" s="29"/>
      <c r="E20" s="29"/>
      <c r="F20" s="31"/>
    </row>
    <row r="21" spans="1:6" ht="19.5" customHeight="1">
      <c r="A21" s="29" t="s">
        <v>62</v>
      </c>
      <c r="B21" s="29" t="s">
        <v>167</v>
      </c>
      <c r="C21" s="29" t="s">
        <v>156</v>
      </c>
      <c r="D21" s="29">
        <v>9</v>
      </c>
      <c r="E21" s="29"/>
      <c r="F21" s="31">
        <f>(F8+F18+F19+F20)*D21/100</f>
        <v>751.085447143005</v>
      </c>
    </row>
    <row r="22" spans="1:6" ht="19.5" customHeight="1" hidden="1">
      <c r="A22" s="29"/>
      <c r="B22" s="29"/>
      <c r="C22" s="44"/>
      <c r="D22" s="44"/>
      <c r="E22" s="29"/>
      <c r="F22" s="31"/>
    </row>
    <row r="23" spans="1:6" ht="19.5" customHeight="1" hidden="1">
      <c r="A23" s="29"/>
      <c r="B23" s="29"/>
      <c r="C23" s="29"/>
      <c r="D23" s="29"/>
      <c r="E23" s="29"/>
      <c r="F23" s="31"/>
    </row>
    <row r="24" spans="1:6" ht="19.5" customHeight="1">
      <c r="A24" s="29"/>
      <c r="B24" s="31" t="s">
        <v>276</v>
      </c>
      <c r="C24" s="29"/>
      <c r="D24" s="29"/>
      <c r="E24" s="29"/>
      <c r="F24" s="31">
        <f>F8+F18+F19+F20+F21</f>
        <v>9096.479304287504</v>
      </c>
    </row>
    <row r="25" spans="1:6" ht="19.5" customHeight="1" hidden="1">
      <c r="A25" s="29"/>
      <c r="B25" s="31" t="s">
        <v>275</v>
      </c>
      <c r="C25" s="29"/>
      <c r="D25" s="29"/>
      <c r="E25" s="29"/>
      <c r="F25" s="31">
        <f>F24/100</f>
        <v>90.96479304287504</v>
      </c>
    </row>
    <row r="26" spans="1:6" ht="19.5" customHeight="1">
      <c r="A26" s="29"/>
      <c r="B26" s="29"/>
      <c r="C26" s="29"/>
      <c r="D26" s="29"/>
      <c r="E26" s="29"/>
      <c r="F26" s="31"/>
    </row>
    <row r="27" spans="1:6" ht="19.5" customHeight="1">
      <c r="A27" s="29"/>
      <c r="B27" s="29"/>
      <c r="C27" s="29"/>
      <c r="D27" s="29"/>
      <c r="E27" s="29"/>
      <c r="F27" s="31"/>
    </row>
    <row r="28" spans="1:6" ht="19.5" customHeight="1">
      <c r="A28" s="39"/>
      <c r="B28" s="40"/>
      <c r="C28" s="40"/>
      <c r="D28" s="40"/>
      <c r="E28" s="40"/>
      <c r="F28" s="4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F1"/>
    <mergeCell ref="B2:D2"/>
    <mergeCell ref="B3:D3"/>
    <mergeCell ref="A4:F6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  <headerFooter alignWithMargins="0">
    <oddFooter>&amp;C&amp;"Times New Roman,常规"-&amp;P--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5"/>
  </sheetPr>
  <dimension ref="A1:F27"/>
  <sheetViews>
    <sheetView workbookViewId="0" topLeftCell="A13">
      <selection activeCell="E21" sqref="E21"/>
    </sheetView>
  </sheetViews>
  <sheetFormatPr defaultColWidth="8.625" defaultRowHeight="14.25"/>
  <cols>
    <col min="1" max="1" width="7.00390625" style="27" customWidth="1"/>
    <col min="2" max="2" width="21.625" style="27" customWidth="1"/>
    <col min="3" max="3" width="9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36" customHeight="1">
      <c r="A1" s="504" t="s">
        <v>269</v>
      </c>
      <c r="B1" s="504"/>
      <c r="C1" s="504"/>
      <c r="D1" s="504"/>
      <c r="E1" s="504"/>
      <c r="F1" s="504"/>
    </row>
    <row r="2" spans="1:6" ht="21" customHeight="1">
      <c r="A2" s="221" t="s">
        <v>161</v>
      </c>
      <c r="B2" s="505" t="s">
        <v>487</v>
      </c>
      <c r="C2" s="506"/>
      <c r="D2" s="506"/>
      <c r="E2" s="221" t="s">
        <v>38</v>
      </c>
      <c r="F2" s="180" t="s">
        <v>488</v>
      </c>
    </row>
    <row r="3" spans="1:6" ht="21" customHeight="1">
      <c r="A3" s="221" t="s">
        <v>251</v>
      </c>
      <c r="B3" s="472" t="s">
        <v>489</v>
      </c>
      <c r="C3" s="472"/>
      <c r="D3" s="472"/>
      <c r="E3" s="221" t="s">
        <v>43</v>
      </c>
      <c r="F3" s="29" t="s">
        <v>345</v>
      </c>
    </row>
    <row r="4" spans="1:6" ht="19.5" customHeight="1">
      <c r="A4" s="465" t="s">
        <v>490</v>
      </c>
      <c r="B4" s="466"/>
      <c r="C4" s="466"/>
      <c r="D4" s="466"/>
      <c r="E4" s="466"/>
      <c r="F4" s="466"/>
    </row>
    <row r="5" spans="1:6" ht="19.5" customHeight="1">
      <c r="A5" s="466"/>
      <c r="B5" s="466"/>
      <c r="C5" s="466"/>
      <c r="D5" s="466"/>
      <c r="E5" s="466"/>
      <c r="F5" s="466"/>
    </row>
    <row r="6" spans="1:6" ht="13.5" customHeight="1">
      <c r="A6" s="466"/>
      <c r="B6" s="466"/>
      <c r="C6" s="466"/>
      <c r="D6" s="466"/>
      <c r="E6" s="466"/>
      <c r="F6" s="466"/>
    </row>
    <row r="7" spans="1:6" ht="19.5" customHeight="1">
      <c r="A7" s="29" t="s">
        <v>2</v>
      </c>
      <c r="B7" s="29" t="s">
        <v>184</v>
      </c>
      <c r="C7" s="29" t="s">
        <v>274</v>
      </c>
      <c r="D7" s="29" t="s">
        <v>44</v>
      </c>
      <c r="E7" s="29" t="s">
        <v>275</v>
      </c>
      <c r="F7" s="29" t="s">
        <v>276</v>
      </c>
    </row>
    <row r="8" spans="1:6" ht="19.5" customHeight="1">
      <c r="A8" s="29" t="s">
        <v>11</v>
      </c>
      <c r="B8" s="29" t="s">
        <v>290</v>
      </c>
      <c r="C8" s="29"/>
      <c r="D8" s="31"/>
      <c r="E8" s="31"/>
      <c r="F8" s="32">
        <f>F9+F19</f>
        <v>1328.699794704863</v>
      </c>
    </row>
    <row r="9" spans="1:6" ht="19.5" customHeight="1">
      <c r="A9" s="29" t="s">
        <v>49</v>
      </c>
      <c r="B9" s="29" t="s">
        <v>314</v>
      </c>
      <c r="C9" s="29"/>
      <c r="D9" s="29"/>
      <c r="E9" s="31"/>
      <c r="F9" s="32">
        <f>F10+F13+F15</f>
        <v>1202.443253126573</v>
      </c>
    </row>
    <row r="10" spans="1:6" ht="19.5" customHeight="1">
      <c r="A10" s="29">
        <v>1</v>
      </c>
      <c r="B10" s="29" t="s">
        <v>162</v>
      </c>
      <c r="C10" s="29"/>
      <c r="D10" s="29"/>
      <c r="E10" s="31"/>
      <c r="F10" s="32">
        <f>SUM(F11:F12)</f>
        <v>45.85</v>
      </c>
    </row>
    <row r="11" spans="1:6" ht="19.5" customHeight="1" hidden="1">
      <c r="A11" s="29"/>
      <c r="B11" s="29" t="s">
        <v>347</v>
      </c>
      <c r="C11" s="29" t="s">
        <v>291</v>
      </c>
      <c r="D11" s="29"/>
      <c r="E11" s="31">
        <f>'格宾石笼'!E12</f>
        <v>11.98</v>
      </c>
      <c r="F11" s="31">
        <f>D11*E11</f>
        <v>0</v>
      </c>
    </row>
    <row r="12" spans="1:6" ht="19.5" customHeight="1">
      <c r="A12" s="29"/>
      <c r="B12" s="29" t="s">
        <v>266</v>
      </c>
      <c r="C12" s="29" t="s">
        <v>291</v>
      </c>
      <c r="D12" s="33">
        <v>7</v>
      </c>
      <c r="E12" s="31">
        <f>'初级工'!G20</f>
        <v>6.55</v>
      </c>
      <c r="F12" s="31">
        <f>D12*E12</f>
        <v>45.85</v>
      </c>
    </row>
    <row r="13" spans="1:6" ht="19.5" customHeight="1">
      <c r="A13" s="29">
        <v>2</v>
      </c>
      <c r="B13" s="29" t="s">
        <v>163</v>
      </c>
      <c r="C13" s="29"/>
      <c r="D13" s="33"/>
      <c r="E13" s="31"/>
      <c r="F13" s="31">
        <f>F14</f>
        <v>57.25920252983681</v>
      </c>
    </row>
    <row r="14" spans="1:6" ht="19.5" customHeight="1">
      <c r="A14" s="29"/>
      <c r="B14" s="29" t="s">
        <v>316</v>
      </c>
      <c r="C14" s="29" t="s">
        <v>156</v>
      </c>
      <c r="D14" s="34">
        <v>4</v>
      </c>
      <c r="E14" s="35"/>
      <c r="F14" s="31">
        <f>(F10+F15)*0.05</f>
        <v>57.25920252983681</v>
      </c>
    </row>
    <row r="15" spans="1:6" ht="19.5" customHeight="1">
      <c r="A15" s="29">
        <v>3</v>
      </c>
      <c r="B15" s="29" t="s">
        <v>164</v>
      </c>
      <c r="C15" s="29"/>
      <c r="D15" s="34"/>
      <c r="E15" s="31"/>
      <c r="F15" s="31">
        <f>SUM(F16:F18)</f>
        <v>1099.3340505967362</v>
      </c>
    </row>
    <row r="16" spans="1:6" ht="19.5" customHeight="1">
      <c r="A16" s="29"/>
      <c r="B16" s="29" t="s">
        <v>317</v>
      </c>
      <c r="C16" s="29" t="s">
        <v>179</v>
      </c>
      <c r="D16" s="31">
        <v>1.04</v>
      </c>
      <c r="E16" s="31">
        <f>'台时-1'!C5</f>
        <v>126.81077161646505</v>
      </c>
      <c r="F16" s="31">
        <f>D16*E16</f>
        <v>131.88320248112365</v>
      </c>
    </row>
    <row r="17" spans="1:6" ht="19.5" customHeight="1">
      <c r="A17" s="29"/>
      <c r="B17" s="29" t="s">
        <v>491</v>
      </c>
      <c r="C17" s="29" t="s">
        <v>179</v>
      </c>
      <c r="D17" s="31">
        <v>0.52</v>
      </c>
      <c r="E17" s="31">
        <f>SUM('台时-1'!C9)</f>
        <v>69.50047625233417</v>
      </c>
      <c r="F17" s="31">
        <f>D17*E17</f>
        <v>36.14024765121377</v>
      </c>
    </row>
    <row r="18" spans="1:6" ht="19.5" customHeight="1">
      <c r="A18" s="29"/>
      <c r="B18" s="29" t="s">
        <v>492</v>
      </c>
      <c r="C18" s="29" t="s">
        <v>179</v>
      </c>
      <c r="D18" s="31">
        <v>10.56</v>
      </c>
      <c r="E18" s="31">
        <f>SUM('台时-2'!C18)</f>
        <v>88.19229171064383</v>
      </c>
      <c r="F18" s="31">
        <f>D18*E18</f>
        <v>931.3106004643989</v>
      </c>
    </row>
    <row r="19" spans="1:6" ht="19.5" customHeight="1">
      <c r="A19" s="29" t="s">
        <v>57</v>
      </c>
      <c r="B19" s="29" t="s">
        <v>165</v>
      </c>
      <c r="C19" s="29" t="s">
        <v>156</v>
      </c>
      <c r="D19" s="29">
        <v>10.5</v>
      </c>
      <c r="E19" s="29"/>
      <c r="F19" s="31">
        <f>F9*D19/100</f>
        <v>126.25654157829017</v>
      </c>
    </row>
    <row r="20" spans="1:6" ht="19.5" customHeight="1">
      <c r="A20" s="29" t="s">
        <v>13</v>
      </c>
      <c r="B20" s="29" t="s">
        <v>166</v>
      </c>
      <c r="C20" s="29" t="s">
        <v>156</v>
      </c>
      <c r="D20" s="29">
        <v>9.5</v>
      </c>
      <c r="E20" s="29"/>
      <c r="F20" s="31">
        <f>F8*D20/100</f>
        <v>126.226480496962</v>
      </c>
    </row>
    <row r="21" spans="1:6" ht="19.5" customHeight="1">
      <c r="A21" s="29" t="s">
        <v>21</v>
      </c>
      <c r="B21" s="29" t="s">
        <v>296</v>
      </c>
      <c r="C21" s="29" t="s">
        <v>156</v>
      </c>
      <c r="D21" s="29">
        <v>7</v>
      </c>
      <c r="E21" s="29"/>
      <c r="F21" s="31">
        <f>(F8+F20)*D21/100</f>
        <v>101.84483926412776</v>
      </c>
    </row>
    <row r="22" spans="1:6" ht="19.5" customHeight="1">
      <c r="A22" s="29" t="s">
        <v>60</v>
      </c>
      <c r="B22" s="29" t="s">
        <v>297</v>
      </c>
      <c r="C22" s="29"/>
      <c r="D22" s="29"/>
      <c r="E22" s="29"/>
      <c r="F22" s="31" t="e">
        <f>SUM(D16*'台时-1'!J5/1000*(#REF!-2990)+D17*'台时-1'!J9/1000*(#REF!-2990)+D18*'台时-2'!J18/1000*(#REF!-2990))</f>
        <v>#REF!</v>
      </c>
    </row>
    <row r="23" spans="1:6" ht="19.5" customHeight="1">
      <c r="A23" s="29" t="s">
        <v>62</v>
      </c>
      <c r="B23" s="29" t="s">
        <v>167</v>
      </c>
      <c r="C23" s="29" t="s">
        <v>156</v>
      </c>
      <c r="D23" s="29">
        <v>9</v>
      </c>
      <c r="E23" s="29"/>
      <c r="F23" s="31" t="e">
        <f>(F8+F20+F21+F22)*D23/100</f>
        <v>#REF!</v>
      </c>
    </row>
    <row r="24" spans="1:6" ht="19.5" customHeight="1">
      <c r="A24" s="29"/>
      <c r="B24" s="31" t="s">
        <v>276</v>
      </c>
      <c r="C24" s="29"/>
      <c r="D24" s="29"/>
      <c r="E24" s="29"/>
      <c r="F24" s="31" t="e">
        <f>F8+F20+F21+F22+F23</f>
        <v>#REF!</v>
      </c>
    </row>
    <row r="25" spans="1:6" ht="19.5" customHeight="1" hidden="1">
      <c r="A25" s="29"/>
      <c r="B25" s="31" t="s">
        <v>275</v>
      </c>
      <c r="C25" s="29"/>
      <c r="D25" s="29"/>
      <c r="E25" s="29"/>
      <c r="F25" s="31" t="e">
        <f>F24/100</f>
        <v>#REF!</v>
      </c>
    </row>
    <row r="26" spans="1:6" ht="19.5" customHeight="1">
      <c r="A26" s="29"/>
      <c r="B26" s="31"/>
      <c r="C26" s="29"/>
      <c r="D26" s="29"/>
      <c r="E26" s="29"/>
      <c r="F26" s="31"/>
    </row>
    <row r="27" spans="1:6" ht="19.5" customHeight="1">
      <c r="A27" s="29"/>
      <c r="B27" s="31"/>
      <c r="C27" s="29"/>
      <c r="D27" s="29"/>
      <c r="E27" s="29"/>
      <c r="F27" s="3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">
    <mergeCell ref="A1:F1"/>
    <mergeCell ref="B2:D2"/>
    <mergeCell ref="B3:D3"/>
    <mergeCell ref="A4:F6"/>
  </mergeCells>
  <printOptions/>
  <pageMargins left="0.9448818897637796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&amp;C－&amp;P－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workbookViewId="0" topLeftCell="A16">
      <selection activeCell="H25" sqref="H25"/>
    </sheetView>
  </sheetViews>
  <sheetFormatPr defaultColWidth="8.625" defaultRowHeight="14.25"/>
  <cols>
    <col min="1" max="1" width="8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10" ht="21" customHeight="1">
      <c r="A3" s="29" t="s">
        <v>161</v>
      </c>
      <c r="B3" s="465" t="s">
        <v>493</v>
      </c>
      <c r="C3" s="465"/>
      <c r="D3" s="465"/>
      <c r="E3" s="29" t="s">
        <v>38</v>
      </c>
      <c r="F3" s="180" t="s">
        <v>494</v>
      </c>
      <c r="I3" s="469"/>
      <c r="J3" s="469"/>
    </row>
    <row r="4" spans="1:6" ht="21" customHeight="1">
      <c r="A4" s="29" t="s">
        <v>251</v>
      </c>
      <c r="B4" s="465">
        <v>90014</v>
      </c>
      <c r="C4" s="465"/>
      <c r="D4" s="465"/>
      <c r="E4" s="38" t="s">
        <v>43</v>
      </c>
      <c r="F4" s="29" t="s">
        <v>495</v>
      </c>
    </row>
    <row r="5" spans="1:6" ht="19.5" customHeight="1">
      <c r="A5" s="467" t="s">
        <v>496</v>
      </c>
      <c r="B5" s="468"/>
      <c r="C5" s="468"/>
      <c r="D5" s="468"/>
      <c r="E5" s="468"/>
      <c r="F5" s="468"/>
    </row>
    <row r="6" spans="1:6" ht="19.5" customHeight="1">
      <c r="A6" s="468"/>
      <c r="B6" s="468"/>
      <c r="C6" s="468"/>
      <c r="D6" s="468"/>
      <c r="E6" s="468"/>
      <c r="F6" s="468"/>
    </row>
    <row r="7" spans="1:6" ht="13.5" customHeight="1">
      <c r="A7" s="468"/>
      <c r="B7" s="468"/>
      <c r="C7" s="468"/>
      <c r="D7" s="468"/>
      <c r="E7" s="468"/>
      <c r="F7" s="468"/>
    </row>
    <row r="8" spans="1:6" ht="21" customHeight="1">
      <c r="A8" s="39" t="s">
        <v>2</v>
      </c>
      <c r="B8" s="39" t="s">
        <v>184</v>
      </c>
      <c r="C8" s="39" t="s">
        <v>274</v>
      </c>
      <c r="D8" s="39" t="s">
        <v>44</v>
      </c>
      <c r="E8" s="39" t="s">
        <v>275</v>
      </c>
      <c r="F8" s="39" t="s">
        <v>276</v>
      </c>
    </row>
    <row r="9" spans="1:6" ht="21" customHeight="1">
      <c r="A9" s="29" t="s">
        <v>11</v>
      </c>
      <c r="B9" s="29" t="s">
        <v>289</v>
      </c>
      <c r="C9" s="29"/>
      <c r="D9" s="31"/>
      <c r="E9" s="31"/>
      <c r="F9" s="32" t="e">
        <f>F10+F21</f>
        <v>#REF!</v>
      </c>
    </row>
    <row r="10" spans="1:6" ht="21" customHeight="1">
      <c r="A10" s="29" t="s">
        <v>49</v>
      </c>
      <c r="B10" s="29" t="s">
        <v>290</v>
      </c>
      <c r="C10" s="29"/>
      <c r="D10" s="29"/>
      <c r="E10" s="31"/>
      <c r="F10" s="32" t="e">
        <f>F11+F15+F18</f>
        <v>#REF!</v>
      </c>
    </row>
    <row r="11" spans="1:6" ht="21" customHeight="1">
      <c r="A11" s="29">
        <v>1</v>
      </c>
      <c r="B11" s="29" t="s">
        <v>162</v>
      </c>
      <c r="C11" s="29"/>
      <c r="D11" s="29"/>
      <c r="E11" s="31"/>
      <c r="F11" s="32">
        <f>SUM(F12:F14)</f>
        <v>5726.63</v>
      </c>
    </row>
    <row r="12" spans="1:6" ht="21" customHeight="1">
      <c r="A12" s="29"/>
      <c r="B12" s="29" t="s">
        <v>262</v>
      </c>
      <c r="C12" s="29" t="s">
        <v>291</v>
      </c>
      <c r="D12" s="29">
        <f>7+1*15</f>
        <v>22</v>
      </c>
      <c r="E12" s="220">
        <v>8.31</v>
      </c>
      <c r="F12" s="31">
        <f>D12*E12</f>
        <v>182.82000000000002</v>
      </c>
    </row>
    <row r="13" spans="1:6" ht="21" customHeight="1">
      <c r="A13" s="29"/>
      <c r="B13" s="29" t="s">
        <v>265</v>
      </c>
      <c r="C13" s="29" t="s">
        <v>291</v>
      </c>
      <c r="D13" s="29">
        <f>126+14*15</f>
        <v>336</v>
      </c>
      <c r="E13" s="220">
        <v>6.46</v>
      </c>
      <c r="F13" s="31">
        <f>D13*E13</f>
        <v>2170.56</v>
      </c>
    </row>
    <row r="14" spans="1:6" ht="21" customHeight="1">
      <c r="A14" s="29"/>
      <c r="B14" s="29" t="s">
        <v>266</v>
      </c>
      <c r="C14" s="29" t="s">
        <v>291</v>
      </c>
      <c r="D14" s="31">
        <f>200+21*15</f>
        <v>515</v>
      </c>
      <c r="E14" s="31">
        <f>'初级工'!G20</f>
        <v>6.55</v>
      </c>
      <c r="F14" s="31">
        <f>D14*E14</f>
        <v>3373.25</v>
      </c>
    </row>
    <row r="15" spans="1:6" ht="21" customHeight="1">
      <c r="A15" s="29">
        <v>2</v>
      </c>
      <c r="B15" s="29" t="s">
        <v>163</v>
      </c>
      <c r="C15" s="29"/>
      <c r="D15" s="33"/>
      <c r="E15" s="31"/>
      <c r="F15" s="31" t="e">
        <f>SUM(F16:F17)</f>
        <v>#REF!</v>
      </c>
    </row>
    <row r="16" spans="1:6" ht="21" customHeight="1">
      <c r="A16" s="29"/>
      <c r="B16" s="29" t="s">
        <v>497</v>
      </c>
      <c r="C16" s="29" t="s">
        <v>498</v>
      </c>
      <c r="D16" s="34">
        <f>122+12*15</f>
        <v>302</v>
      </c>
      <c r="E16" s="31" t="e">
        <f>SUM(#REF!)</f>
        <v>#REF!</v>
      </c>
      <c r="F16" s="31" t="e">
        <f>E16*D16</f>
        <v>#REF!</v>
      </c>
    </row>
    <row r="17" spans="1:6" ht="21" customHeight="1">
      <c r="A17" s="29"/>
      <c r="B17" s="29" t="s">
        <v>315</v>
      </c>
      <c r="C17" s="29" t="s">
        <v>156</v>
      </c>
      <c r="D17" s="31">
        <v>0.5</v>
      </c>
      <c r="E17" s="31" t="e">
        <f>SUM(F16)</f>
        <v>#REF!</v>
      </c>
      <c r="F17" s="31" t="e">
        <f>SUM(E17*D17/100)</f>
        <v>#REF!</v>
      </c>
    </row>
    <row r="18" spans="1:6" ht="21" customHeight="1">
      <c r="A18" s="29">
        <v>3</v>
      </c>
      <c r="B18" s="29" t="s">
        <v>164</v>
      </c>
      <c r="C18" s="29"/>
      <c r="D18" s="34"/>
      <c r="E18" s="31"/>
      <c r="F18" s="31">
        <f>SUM(F19:F19)</f>
        <v>506.43332048388396</v>
      </c>
    </row>
    <row r="19" spans="1:6" ht="21" customHeight="1">
      <c r="A19" s="29"/>
      <c r="B19" s="29" t="s">
        <v>499</v>
      </c>
      <c r="C19" s="29" t="s">
        <v>179</v>
      </c>
      <c r="D19" s="31">
        <f>7.6</f>
        <v>7.6</v>
      </c>
      <c r="E19" s="31">
        <f>SUM('台时-4'!C22)</f>
        <v>66.63596322156369</v>
      </c>
      <c r="F19" s="31">
        <f>D19*E19</f>
        <v>506.43332048388396</v>
      </c>
    </row>
    <row r="20" spans="1:6" ht="21" customHeight="1">
      <c r="A20" s="29"/>
      <c r="B20" s="29" t="s">
        <v>318</v>
      </c>
      <c r="C20" s="29" t="s">
        <v>156</v>
      </c>
      <c r="D20" s="31">
        <v>1</v>
      </c>
      <c r="E20" s="31">
        <f>SUM(F19)</f>
        <v>506.43332048388396</v>
      </c>
      <c r="F20" s="31">
        <f>SUM(E20*D20/100)</f>
        <v>5.06433320483884</v>
      </c>
    </row>
    <row r="21" spans="1:6" ht="21" customHeight="1">
      <c r="A21" s="29" t="s">
        <v>57</v>
      </c>
      <c r="B21" s="29" t="s">
        <v>165</v>
      </c>
      <c r="C21" s="29" t="s">
        <v>156</v>
      </c>
      <c r="D21" s="29">
        <v>10</v>
      </c>
      <c r="E21" s="29"/>
      <c r="F21" s="31" t="e">
        <f>F10*D21/100</f>
        <v>#REF!</v>
      </c>
    </row>
    <row r="22" spans="1:6" ht="21" customHeight="1">
      <c r="A22" s="29" t="s">
        <v>13</v>
      </c>
      <c r="B22" s="29" t="s">
        <v>166</v>
      </c>
      <c r="C22" s="29" t="s">
        <v>156</v>
      </c>
      <c r="D22" s="29">
        <v>12.5</v>
      </c>
      <c r="E22" s="29"/>
      <c r="F22" s="31" t="e">
        <f>F9*D22/100</f>
        <v>#REF!</v>
      </c>
    </row>
    <row r="23" spans="1:6" ht="21" customHeight="1">
      <c r="A23" s="29" t="s">
        <v>21</v>
      </c>
      <c r="B23" s="29" t="s">
        <v>296</v>
      </c>
      <c r="C23" s="29" t="s">
        <v>156</v>
      </c>
      <c r="D23" s="29">
        <v>7</v>
      </c>
      <c r="E23" s="29"/>
      <c r="F23" s="31" t="e">
        <f>(F9+F22)*D23/100</f>
        <v>#REF!</v>
      </c>
    </row>
    <row r="24" spans="1:6" ht="21" customHeight="1">
      <c r="A24" s="29" t="s">
        <v>60</v>
      </c>
      <c r="B24" s="29" t="s">
        <v>297</v>
      </c>
      <c r="C24" s="29"/>
      <c r="D24" s="29"/>
      <c r="E24" s="29"/>
      <c r="F24" s="31" t="e">
        <f>SUM(D19*'台时-4'!J22/1000*(#REF!-2990))</f>
        <v>#REF!</v>
      </c>
    </row>
    <row r="25" spans="1:6" ht="21" customHeight="1">
      <c r="A25" s="29" t="s">
        <v>62</v>
      </c>
      <c r="B25" s="29" t="s">
        <v>167</v>
      </c>
      <c r="C25" s="29" t="s">
        <v>156</v>
      </c>
      <c r="D25" s="29">
        <v>9</v>
      </c>
      <c r="E25" s="29"/>
      <c r="F25" s="31" t="e">
        <f>(F9+F22+F23+F24)*D25/100</f>
        <v>#REF!</v>
      </c>
    </row>
    <row r="26" spans="1:6" ht="21" customHeight="1">
      <c r="A26" s="29"/>
      <c r="B26" s="31" t="s">
        <v>365</v>
      </c>
      <c r="C26" s="29"/>
      <c r="D26" s="29"/>
      <c r="E26" s="29"/>
      <c r="F26" s="31" t="e">
        <f>F9+F22+F23+F24+F25</f>
        <v>#REF!</v>
      </c>
    </row>
    <row r="27" spans="1:6" ht="21" customHeight="1" hidden="1">
      <c r="A27" s="29"/>
      <c r="B27" s="31" t="s">
        <v>275</v>
      </c>
      <c r="C27" s="29"/>
      <c r="D27" s="29"/>
      <c r="E27" s="29"/>
      <c r="F27" s="31" t="e">
        <f>F26/100</f>
        <v>#REF!</v>
      </c>
    </row>
    <row r="28" spans="1:6" ht="21" customHeight="1">
      <c r="A28" s="39"/>
      <c r="B28" s="40"/>
      <c r="C28" s="40"/>
      <c r="D28" s="40"/>
      <c r="E28" s="40"/>
      <c r="F28" s="4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5">
    <mergeCell ref="A1:F1"/>
    <mergeCell ref="B3:D3"/>
    <mergeCell ref="I3:J3"/>
    <mergeCell ref="B4:D4"/>
    <mergeCell ref="A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&amp;C-&amp;P--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workbookViewId="0" topLeftCell="A1">
      <selection activeCell="F18" sqref="F18"/>
    </sheetView>
  </sheetViews>
  <sheetFormatPr defaultColWidth="8.625" defaultRowHeight="14.25"/>
  <cols>
    <col min="1" max="1" width="8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10" ht="21" customHeight="1">
      <c r="A3" s="29" t="s">
        <v>161</v>
      </c>
      <c r="B3" s="465" t="s">
        <v>178</v>
      </c>
      <c r="C3" s="465"/>
      <c r="D3" s="465"/>
      <c r="E3" s="29" t="s">
        <v>38</v>
      </c>
      <c r="F3" s="180" t="s">
        <v>500</v>
      </c>
      <c r="I3" s="469"/>
      <c r="J3" s="469"/>
    </row>
    <row r="4" spans="1:6" ht="21" customHeight="1">
      <c r="A4" s="29" t="s">
        <v>251</v>
      </c>
      <c r="B4" s="465" t="s">
        <v>501</v>
      </c>
      <c r="C4" s="465"/>
      <c r="D4" s="465"/>
      <c r="E4" s="38" t="s">
        <v>43</v>
      </c>
      <c r="F4" s="29" t="s">
        <v>495</v>
      </c>
    </row>
    <row r="5" spans="1:6" ht="19.5" customHeight="1">
      <c r="A5" s="467" t="s">
        <v>502</v>
      </c>
      <c r="B5" s="468"/>
      <c r="C5" s="468"/>
      <c r="D5" s="468"/>
      <c r="E5" s="468"/>
      <c r="F5" s="468"/>
    </row>
    <row r="6" spans="1:6" ht="19.5" customHeight="1">
      <c r="A6" s="468"/>
      <c r="B6" s="468"/>
      <c r="C6" s="468"/>
      <c r="D6" s="468"/>
      <c r="E6" s="468"/>
      <c r="F6" s="468"/>
    </row>
    <row r="7" spans="1:6" ht="13.5" customHeight="1">
      <c r="A7" s="468"/>
      <c r="B7" s="468"/>
      <c r="C7" s="468"/>
      <c r="D7" s="468"/>
      <c r="E7" s="468"/>
      <c r="F7" s="468"/>
    </row>
    <row r="8" spans="1:6" ht="21" customHeight="1">
      <c r="A8" s="39" t="s">
        <v>2</v>
      </c>
      <c r="B8" s="39" t="s">
        <v>184</v>
      </c>
      <c r="C8" s="39" t="s">
        <v>274</v>
      </c>
      <c r="D8" s="39" t="s">
        <v>44</v>
      </c>
      <c r="E8" s="39" t="s">
        <v>275</v>
      </c>
      <c r="F8" s="39" t="s">
        <v>276</v>
      </c>
    </row>
    <row r="9" spans="1:6" ht="21" customHeight="1">
      <c r="A9" s="29" t="s">
        <v>11</v>
      </c>
      <c r="B9" s="29" t="s">
        <v>289</v>
      </c>
      <c r="C9" s="29"/>
      <c r="D9" s="31"/>
      <c r="E9" s="31"/>
      <c r="F9" s="32">
        <f>F10+F21</f>
        <v>24875.012816050825</v>
      </c>
    </row>
    <row r="10" spans="1:6" ht="21" customHeight="1">
      <c r="A10" s="29" t="s">
        <v>49</v>
      </c>
      <c r="B10" s="29" t="s">
        <v>290</v>
      </c>
      <c r="C10" s="29"/>
      <c r="D10" s="29"/>
      <c r="E10" s="31"/>
      <c r="F10" s="32">
        <f>F11+F15+F18</f>
        <v>23118.041650604857</v>
      </c>
    </row>
    <row r="11" spans="1:6" ht="21" customHeight="1">
      <c r="A11" s="29">
        <v>1</v>
      </c>
      <c r="B11" s="29" t="s">
        <v>162</v>
      </c>
      <c r="C11" s="29"/>
      <c r="D11" s="29"/>
      <c r="E11" s="31"/>
      <c r="F11" s="32">
        <f>SUM(F12:F14)</f>
        <v>4405.05</v>
      </c>
    </row>
    <row r="12" spans="1:6" ht="21" customHeight="1">
      <c r="A12" s="29"/>
      <c r="B12" s="29" t="s">
        <v>262</v>
      </c>
      <c r="C12" s="29" t="s">
        <v>291</v>
      </c>
      <c r="D12" s="29">
        <f>9+1*6</f>
        <v>15</v>
      </c>
      <c r="E12" s="220">
        <v>8.31</v>
      </c>
      <c r="F12" s="31">
        <f>D12*E12</f>
        <v>124.65</v>
      </c>
    </row>
    <row r="13" spans="1:6" ht="21" customHeight="1">
      <c r="A13" s="29"/>
      <c r="B13" s="29" t="s">
        <v>265</v>
      </c>
      <c r="C13" s="29" t="s">
        <v>291</v>
      </c>
      <c r="D13" s="29">
        <f>171+14*6</f>
        <v>255</v>
      </c>
      <c r="E13" s="220">
        <v>6.46</v>
      </c>
      <c r="F13" s="31">
        <f>D13*E13</f>
        <v>1647.3</v>
      </c>
    </row>
    <row r="14" spans="1:6" ht="21" customHeight="1">
      <c r="A14" s="29"/>
      <c r="B14" s="29" t="s">
        <v>266</v>
      </c>
      <c r="C14" s="29" t="s">
        <v>291</v>
      </c>
      <c r="D14" s="31">
        <f>270+22*6</f>
        <v>402</v>
      </c>
      <c r="E14" s="31">
        <f>'初级工'!G20</f>
        <v>6.55</v>
      </c>
      <c r="F14" s="31">
        <f>D14*E14</f>
        <v>2633.1</v>
      </c>
    </row>
    <row r="15" spans="1:6" ht="21" customHeight="1">
      <c r="A15" s="29">
        <v>2</v>
      </c>
      <c r="B15" s="29" t="s">
        <v>163</v>
      </c>
      <c r="C15" s="29"/>
      <c r="D15" s="33"/>
      <c r="E15" s="31"/>
      <c r="F15" s="31">
        <f>SUM(F16:F17)</f>
        <v>18079.95</v>
      </c>
    </row>
    <row r="16" spans="1:6" ht="21" customHeight="1">
      <c r="A16" s="29"/>
      <c r="B16" s="29" t="s">
        <v>503</v>
      </c>
      <c r="C16" s="29" t="s">
        <v>498</v>
      </c>
      <c r="D16" s="34">
        <f>179+13*6</f>
        <v>257</v>
      </c>
      <c r="E16" s="31">
        <v>70</v>
      </c>
      <c r="F16" s="31">
        <f>E16*D16</f>
        <v>17990</v>
      </c>
    </row>
    <row r="17" spans="1:6" ht="21" customHeight="1">
      <c r="A17" s="29"/>
      <c r="B17" s="29" t="s">
        <v>315</v>
      </c>
      <c r="C17" s="29" t="s">
        <v>156</v>
      </c>
      <c r="D17" s="31">
        <v>0.5</v>
      </c>
      <c r="E17" s="31">
        <f>SUM(F16)</f>
        <v>17990</v>
      </c>
      <c r="F17" s="31">
        <f>SUM(E17*D17/100)</f>
        <v>89.95</v>
      </c>
    </row>
    <row r="18" spans="1:6" ht="21" customHeight="1">
      <c r="A18" s="29">
        <v>3</v>
      </c>
      <c r="B18" s="29" t="s">
        <v>164</v>
      </c>
      <c r="C18" s="29"/>
      <c r="D18" s="34"/>
      <c r="E18" s="31"/>
      <c r="F18" s="31">
        <f>SUM(F19:F19)</f>
        <v>633.041650604855</v>
      </c>
    </row>
    <row r="19" spans="1:6" ht="21" customHeight="1">
      <c r="A19" s="29"/>
      <c r="B19" s="29" t="s">
        <v>499</v>
      </c>
      <c r="C19" s="29" t="s">
        <v>179</v>
      </c>
      <c r="D19" s="31">
        <v>9.5</v>
      </c>
      <c r="E19" s="31">
        <f>SUM('台时-4'!C22)</f>
        <v>66.63596322156369</v>
      </c>
      <c r="F19" s="31">
        <f>D19*E19</f>
        <v>633.041650604855</v>
      </c>
    </row>
    <row r="20" spans="1:6" ht="21" customHeight="1">
      <c r="A20" s="29"/>
      <c r="B20" s="29" t="s">
        <v>318</v>
      </c>
      <c r="C20" s="29" t="s">
        <v>156</v>
      </c>
      <c r="D20" s="31">
        <v>1</v>
      </c>
      <c r="E20" s="31">
        <f>SUM(F19)</f>
        <v>633.041650604855</v>
      </c>
      <c r="F20" s="31">
        <f>SUM(E20*D20/100)</f>
        <v>6.33041650604855</v>
      </c>
    </row>
    <row r="21" spans="1:6" ht="21" customHeight="1">
      <c r="A21" s="29" t="s">
        <v>57</v>
      </c>
      <c r="B21" s="29" t="s">
        <v>165</v>
      </c>
      <c r="C21" s="29" t="s">
        <v>156</v>
      </c>
      <c r="D21" s="29">
        <v>7.6</v>
      </c>
      <c r="E21" s="29"/>
      <c r="F21" s="31">
        <f>F10*D21/100</f>
        <v>1756.971165445969</v>
      </c>
    </row>
    <row r="22" spans="1:6" ht="21" customHeight="1">
      <c r="A22" s="29" t="s">
        <v>13</v>
      </c>
      <c r="B22" s="29" t="s">
        <v>166</v>
      </c>
      <c r="C22" s="29" t="s">
        <v>156</v>
      </c>
      <c r="D22" s="29">
        <v>7.25</v>
      </c>
      <c r="E22" s="29"/>
      <c r="F22" s="31">
        <f>F9*D22/100</f>
        <v>1803.4384291636848</v>
      </c>
    </row>
    <row r="23" spans="1:6" ht="21" customHeight="1">
      <c r="A23" s="29" t="s">
        <v>21</v>
      </c>
      <c r="B23" s="29" t="s">
        <v>296</v>
      </c>
      <c r="C23" s="29" t="s">
        <v>156</v>
      </c>
      <c r="D23" s="29">
        <v>7</v>
      </c>
      <c r="E23" s="29"/>
      <c r="F23" s="31">
        <f>(F9+F22)*D23/100</f>
        <v>1867.4915871650157</v>
      </c>
    </row>
    <row r="24" spans="1:6" ht="21" customHeight="1">
      <c r="A24" s="29" t="s">
        <v>60</v>
      </c>
      <c r="B24" s="29" t="s">
        <v>297</v>
      </c>
      <c r="C24" s="29"/>
      <c r="D24" s="29"/>
      <c r="E24" s="29"/>
      <c r="F24" s="31" t="e">
        <f>SUM(D19*'台时-4'!J22/1000*(#REF!-2990))+D16*(#REF!-70)</f>
        <v>#REF!</v>
      </c>
    </row>
    <row r="25" spans="1:6" ht="21" customHeight="1">
      <c r="A25" s="29" t="s">
        <v>62</v>
      </c>
      <c r="B25" s="29" t="s">
        <v>167</v>
      </c>
      <c r="C25" s="29" t="s">
        <v>156</v>
      </c>
      <c r="D25" s="29">
        <v>10</v>
      </c>
      <c r="E25" s="29"/>
      <c r="F25" s="31" t="e">
        <f>(F9+F22+F23+F24)*D25/100</f>
        <v>#REF!</v>
      </c>
    </row>
    <row r="26" spans="1:6" ht="21" customHeight="1">
      <c r="A26" s="29"/>
      <c r="B26" s="31" t="s">
        <v>365</v>
      </c>
      <c r="C26" s="29"/>
      <c r="D26" s="29"/>
      <c r="E26" s="29"/>
      <c r="F26" s="31" t="e">
        <f>F9+F22+F23+F24+F25</f>
        <v>#REF!</v>
      </c>
    </row>
    <row r="27" spans="1:6" ht="21" customHeight="1" hidden="1">
      <c r="A27" s="29"/>
      <c r="B27" s="31" t="s">
        <v>275</v>
      </c>
      <c r="C27" s="29"/>
      <c r="D27" s="29"/>
      <c r="E27" s="29"/>
      <c r="F27" s="31" t="e">
        <f>F26/100</f>
        <v>#REF!</v>
      </c>
    </row>
    <row r="28" spans="1:6" ht="21" customHeight="1">
      <c r="A28" s="39"/>
      <c r="B28" s="40"/>
      <c r="C28" s="40"/>
      <c r="D28" s="40"/>
      <c r="E28" s="40"/>
      <c r="F28" s="4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5">
    <mergeCell ref="A1:F1"/>
    <mergeCell ref="B3:D3"/>
    <mergeCell ref="I3:J3"/>
    <mergeCell ref="B4:D4"/>
    <mergeCell ref="A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&amp;C-&amp;P--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R31"/>
  <sheetViews>
    <sheetView zoomScale="160" zoomScaleNormal="160" workbookViewId="0" topLeftCell="B7">
      <selection activeCell="W6" sqref="W6"/>
    </sheetView>
  </sheetViews>
  <sheetFormatPr defaultColWidth="8.625" defaultRowHeight="14.25"/>
  <cols>
    <col min="1" max="1" width="4.625" style="0" customWidth="1"/>
    <col min="2" max="2" width="20.75390625" style="0" customWidth="1"/>
    <col min="3" max="3" width="8.375" style="0" customWidth="1"/>
    <col min="4" max="4" width="6.25390625" style="0" customWidth="1"/>
    <col min="5" max="5" width="7.375" style="0" customWidth="1"/>
    <col min="6" max="6" width="7.25390625" style="0" customWidth="1"/>
    <col min="7" max="14" width="6.625" style="0" customWidth="1"/>
    <col min="15" max="17" width="5.75390625" style="0" customWidth="1"/>
    <col min="18" max="18" width="6.125" style="0" customWidth="1"/>
    <col min="19" max="42" width="8.75390625" style="0" customWidth="1"/>
  </cols>
  <sheetData>
    <row r="1" spans="1:18" ht="20.25">
      <c r="A1" s="428" t="s">
        <v>504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9.5" customHeight="1">
      <c r="A2" s="512" t="s">
        <v>505</v>
      </c>
      <c r="B2" s="514" t="s">
        <v>184</v>
      </c>
      <c r="C2" s="516" t="s">
        <v>506</v>
      </c>
      <c r="D2" s="516" t="s">
        <v>507</v>
      </c>
      <c r="E2" s="516" t="s">
        <v>508</v>
      </c>
      <c r="F2" s="518" t="s">
        <v>509</v>
      </c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20"/>
      <c r="R2" s="510" t="s">
        <v>510</v>
      </c>
    </row>
    <row r="3" spans="1:18" ht="19.5" customHeight="1">
      <c r="A3" s="513"/>
      <c r="B3" s="515"/>
      <c r="C3" s="517"/>
      <c r="D3" s="517"/>
      <c r="E3" s="517"/>
      <c r="F3" s="508" t="s">
        <v>511</v>
      </c>
      <c r="G3" s="509"/>
      <c r="H3" s="508" t="s">
        <v>204</v>
      </c>
      <c r="I3" s="509"/>
      <c r="J3" s="508" t="s">
        <v>203</v>
      </c>
      <c r="K3" s="509"/>
      <c r="L3" s="508" t="s">
        <v>512</v>
      </c>
      <c r="M3" s="509"/>
      <c r="N3" s="508" t="s">
        <v>513</v>
      </c>
      <c r="O3" s="509"/>
      <c r="P3" s="508" t="s">
        <v>278</v>
      </c>
      <c r="Q3" s="509"/>
      <c r="R3" s="511"/>
    </row>
    <row r="4" spans="1:18" ht="32.25" customHeight="1">
      <c r="A4" s="513"/>
      <c r="B4" s="515"/>
      <c r="C4" s="517"/>
      <c r="D4" s="517"/>
      <c r="E4" s="517"/>
      <c r="F4" s="185" t="s">
        <v>514</v>
      </c>
      <c r="G4" s="185" t="s">
        <v>515</v>
      </c>
      <c r="H4" s="185" t="s">
        <v>516</v>
      </c>
      <c r="I4" s="185" t="s">
        <v>515</v>
      </c>
      <c r="J4" s="185" t="s">
        <v>516</v>
      </c>
      <c r="K4" s="185" t="s">
        <v>515</v>
      </c>
      <c r="L4" s="185" t="s">
        <v>517</v>
      </c>
      <c r="M4" s="185" t="s">
        <v>515</v>
      </c>
      <c r="N4" s="185" t="s">
        <v>518</v>
      </c>
      <c r="O4" s="185" t="s">
        <v>515</v>
      </c>
      <c r="P4" s="185" t="s">
        <v>518</v>
      </c>
      <c r="Q4" s="185" t="s">
        <v>515</v>
      </c>
      <c r="R4" s="511"/>
    </row>
    <row r="5" spans="1:18" ht="19.5" customHeight="1">
      <c r="A5" s="186">
        <v>1009</v>
      </c>
      <c r="B5" s="201" t="s">
        <v>519</v>
      </c>
      <c r="C5" s="187">
        <f>D5+E5+R5</f>
        <v>126.81077161646505</v>
      </c>
      <c r="D5" s="187">
        <f>35.63/1.13+25.46/1.09+2.18</f>
        <v>57.06877161646505</v>
      </c>
      <c r="E5" s="187">
        <f>G5+I5+K5+M5+O5+Q5</f>
        <v>69.742</v>
      </c>
      <c r="F5" s="187">
        <v>2.7</v>
      </c>
      <c r="G5" s="187">
        <f>F5*G28</f>
        <v>25.191000000000003</v>
      </c>
      <c r="H5" s="187"/>
      <c r="I5" s="187"/>
      <c r="J5" s="187">
        <v>14.9</v>
      </c>
      <c r="K5" s="187">
        <f aca="true" t="shared" si="0" ref="K5:K16">J5*$G$30</f>
        <v>44.551</v>
      </c>
      <c r="L5" s="187"/>
      <c r="M5" s="187"/>
      <c r="N5" s="187"/>
      <c r="O5" s="187"/>
      <c r="P5" s="187"/>
      <c r="Q5" s="213"/>
      <c r="R5" s="214"/>
    </row>
    <row r="6" spans="1:18" ht="19.5" customHeight="1">
      <c r="A6" s="186">
        <v>1028</v>
      </c>
      <c r="B6" s="201" t="s">
        <v>520</v>
      </c>
      <c r="C6" s="187">
        <f aca="true" t="shared" si="1" ref="C6:C27">D6+E6+R6</f>
        <v>60.90303052691402</v>
      </c>
      <c r="D6" s="187">
        <f>13.15/1.13+8.54/1.09</f>
        <v>19.472030526914022</v>
      </c>
      <c r="E6" s="187">
        <f aca="true" t="shared" si="2" ref="E6:E27">G6+I6+K6+M6+O6+Q6</f>
        <v>41.431000000000004</v>
      </c>
      <c r="F6" s="187">
        <v>1.3</v>
      </c>
      <c r="G6" s="187">
        <f aca="true" t="shared" si="3" ref="G6:G27">F6*$G$28</f>
        <v>12.129000000000001</v>
      </c>
      <c r="H6" s="187"/>
      <c r="I6" s="187"/>
      <c r="J6" s="187">
        <v>9.8</v>
      </c>
      <c r="K6" s="187">
        <f t="shared" si="0"/>
        <v>29.302000000000003</v>
      </c>
      <c r="L6" s="187"/>
      <c r="M6" s="187"/>
      <c r="N6" s="187"/>
      <c r="O6" s="187"/>
      <c r="P6" s="187"/>
      <c r="Q6" s="213"/>
      <c r="R6" s="214"/>
    </row>
    <row r="7" spans="1:18" ht="19.5" customHeight="1">
      <c r="A7" s="186">
        <v>1030</v>
      </c>
      <c r="B7" s="201" t="s">
        <v>521</v>
      </c>
      <c r="C7" s="187">
        <f t="shared" si="1"/>
        <v>121.68516229601363</v>
      </c>
      <c r="D7" s="187">
        <f>32.15/1.13+24.2/1.09</f>
        <v>50.65316229601364</v>
      </c>
      <c r="E7" s="187">
        <f t="shared" si="2"/>
        <v>71.032</v>
      </c>
      <c r="F7" s="187">
        <v>1.3</v>
      </c>
      <c r="G7" s="187">
        <f t="shared" si="3"/>
        <v>12.129000000000001</v>
      </c>
      <c r="H7" s="187"/>
      <c r="I7" s="187"/>
      <c r="J7" s="187">
        <v>19.7</v>
      </c>
      <c r="K7" s="187">
        <f t="shared" si="0"/>
        <v>58.903</v>
      </c>
      <c r="L7" s="187"/>
      <c r="M7" s="187"/>
      <c r="N7" s="187"/>
      <c r="O7" s="187"/>
      <c r="P7" s="187"/>
      <c r="Q7" s="213"/>
      <c r="R7" s="214"/>
    </row>
    <row r="8" spans="1:18" ht="19.5" customHeight="1">
      <c r="A8" s="186">
        <v>1041</v>
      </c>
      <c r="B8" s="201" t="s">
        <v>522</v>
      </c>
      <c r="C8" s="187">
        <f t="shared" si="1"/>
        <v>64.23947397905334</v>
      </c>
      <c r="D8" s="187">
        <f>7.14/1.13+12.5/1.09+0.44</f>
        <v>18.226473979053342</v>
      </c>
      <c r="E8" s="187">
        <f t="shared" si="2"/>
        <v>46.013000000000005</v>
      </c>
      <c r="F8" s="187">
        <v>2.4</v>
      </c>
      <c r="G8" s="187">
        <f t="shared" si="3"/>
        <v>22.392</v>
      </c>
      <c r="H8" s="187"/>
      <c r="I8" s="187"/>
      <c r="J8" s="187">
        <v>7.9</v>
      </c>
      <c r="K8" s="187">
        <f t="shared" si="0"/>
        <v>23.621000000000002</v>
      </c>
      <c r="L8" s="187"/>
      <c r="M8" s="187"/>
      <c r="N8" s="187"/>
      <c r="O8" s="187"/>
      <c r="P8" s="187"/>
      <c r="Q8" s="213"/>
      <c r="R8" s="214"/>
    </row>
    <row r="9" spans="1:18" ht="19.5" customHeight="1">
      <c r="A9" s="186">
        <v>1042</v>
      </c>
      <c r="B9" s="201" t="s">
        <v>212</v>
      </c>
      <c r="C9" s="187">
        <f t="shared" si="1"/>
        <v>69.50047625233417</v>
      </c>
      <c r="D9" s="187">
        <f>10.8/1.13+13.02/1.09+0.49</f>
        <v>21.992476252334168</v>
      </c>
      <c r="E9" s="187">
        <f t="shared" si="2"/>
        <v>47.508</v>
      </c>
      <c r="F9" s="187">
        <v>2.4</v>
      </c>
      <c r="G9" s="187">
        <f t="shared" si="3"/>
        <v>22.392</v>
      </c>
      <c r="H9" s="187"/>
      <c r="I9" s="187"/>
      <c r="J9" s="187">
        <v>8.4</v>
      </c>
      <c r="K9" s="187">
        <f t="shared" si="0"/>
        <v>25.116000000000003</v>
      </c>
      <c r="L9" s="187"/>
      <c r="M9" s="187"/>
      <c r="N9" s="187"/>
      <c r="O9" s="187"/>
      <c r="P9" s="187"/>
      <c r="Q9" s="213"/>
      <c r="R9" s="214"/>
    </row>
    <row r="10" spans="1:18" ht="19.5" customHeight="1">
      <c r="A10" s="186">
        <v>1043</v>
      </c>
      <c r="B10" s="201" t="s">
        <v>523</v>
      </c>
      <c r="C10" s="187">
        <f t="shared" si="1"/>
        <v>92.68676479662255</v>
      </c>
      <c r="D10" s="187">
        <f>19/1.13+22.81/1.09+0.86</f>
        <v>38.600764796622556</v>
      </c>
      <c r="E10" s="187">
        <f t="shared" si="2"/>
        <v>54.086</v>
      </c>
      <c r="F10" s="187">
        <v>2.4</v>
      </c>
      <c r="G10" s="187">
        <f t="shared" si="3"/>
        <v>22.392</v>
      </c>
      <c r="H10" s="187"/>
      <c r="I10" s="187"/>
      <c r="J10" s="187">
        <v>10.6</v>
      </c>
      <c r="K10" s="187">
        <f t="shared" si="0"/>
        <v>31.694000000000003</v>
      </c>
      <c r="L10" s="187"/>
      <c r="M10" s="187"/>
      <c r="N10" s="187"/>
      <c r="O10" s="187"/>
      <c r="P10" s="187"/>
      <c r="Q10" s="213"/>
      <c r="R10" s="214"/>
    </row>
    <row r="11" spans="1:18" ht="19.5" customHeight="1">
      <c r="A11" s="186">
        <v>1044</v>
      </c>
      <c r="B11" s="201" t="s">
        <v>524</v>
      </c>
      <c r="C11" s="187">
        <f t="shared" si="1"/>
        <v>111.44174246975726</v>
      </c>
      <c r="D11" s="187">
        <f>26.72/1.13+29.07/1.09+1.06</f>
        <v>51.37574246975725</v>
      </c>
      <c r="E11" s="187">
        <f t="shared" si="2"/>
        <v>60.066</v>
      </c>
      <c r="F11" s="187">
        <v>2.4</v>
      </c>
      <c r="G11" s="187">
        <f t="shared" si="3"/>
        <v>22.392</v>
      </c>
      <c r="H11" s="187"/>
      <c r="I11" s="187"/>
      <c r="J11" s="187">
        <v>12.6</v>
      </c>
      <c r="K11" s="187">
        <f t="shared" si="0"/>
        <v>37.674</v>
      </c>
      <c r="L11" s="187"/>
      <c r="M11" s="187"/>
      <c r="N11" s="187"/>
      <c r="O11" s="187"/>
      <c r="P11" s="187"/>
      <c r="Q11" s="213"/>
      <c r="R11" s="214"/>
    </row>
    <row r="12" spans="1:18" ht="19.5" customHeight="1">
      <c r="A12" s="186">
        <v>1044</v>
      </c>
      <c r="B12" s="201" t="s">
        <v>525</v>
      </c>
      <c r="C12" s="187">
        <f t="shared" si="1"/>
        <v>129.76514151173177</v>
      </c>
      <c r="D12" s="187">
        <f>32.91/1.13+35.64/1.09+1.3</f>
        <v>63.12114151173175</v>
      </c>
      <c r="E12" s="187">
        <f t="shared" si="2"/>
        <v>66.644</v>
      </c>
      <c r="F12" s="187">
        <v>2.4</v>
      </c>
      <c r="G12" s="187">
        <f t="shared" si="3"/>
        <v>22.392</v>
      </c>
      <c r="H12" s="187"/>
      <c r="I12" s="187"/>
      <c r="J12" s="187">
        <v>14.8</v>
      </c>
      <c r="K12" s="187">
        <f t="shared" si="0"/>
        <v>44.252</v>
      </c>
      <c r="L12" s="187"/>
      <c r="M12" s="187"/>
      <c r="N12" s="187"/>
      <c r="O12" s="187"/>
      <c r="P12" s="187"/>
      <c r="Q12" s="213"/>
      <c r="R12" s="214"/>
    </row>
    <row r="13" spans="1:18" ht="19.5" customHeight="1">
      <c r="A13" s="186">
        <v>1060</v>
      </c>
      <c r="B13" s="201" t="s">
        <v>526</v>
      </c>
      <c r="C13" s="187">
        <f t="shared" si="1"/>
        <v>52.28431809693919</v>
      </c>
      <c r="D13" s="187">
        <f>3.8/1.13+4.56/1.09+0.22</f>
        <v>7.766318096939188</v>
      </c>
      <c r="E13" s="187">
        <f t="shared" si="2"/>
        <v>44.518</v>
      </c>
      <c r="F13" s="187">
        <v>2.4</v>
      </c>
      <c r="G13" s="187">
        <f t="shared" si="3"/>
        <v>22.392</v>
      </c>
      <c r="H13" s="187"/>
      <c r="I13" s="187"/>
      <c r="J13" s="187">
        <v>7.4</v>
      </c>
      <c r="K13" s="187">
        <f t="shared" si="0"/>
        <v>22.126</v>
      </c>
      <c r="L13" s="187"/>
      <c r="M13" s="187"/>
      <c r="N13" s="187"/>
      <c r="O13" s="187"/>
      <c r="P13" s="187"/>
      <c r="Q13" s="213"/>
      <c r="R13" s="214"/>
    </row>
    <row r="14" spans="1:18" ht="19.5" customHeight="1">
      <c r="A14" s="186">
        <v>1061</v>
      </c>
      <c r="B14" s="201" t="s">
        <v>527</v>
      </c>
      <c r="C14" s="187">
        <f t="shared" si="1"/>
        <v>57.70247714540879</v>
      </c>
      <c r="D14" s="187">
        <f>5.7/1.13+6.84/1.09+0.37</f>
        <v>11.689477145408784</v>
      </c>
      <c r="E14" s="187">
        <f t="shared" si="2"/>
        <v>46.013000000000005</v>
      </c>
      <c r="F14" s="187">
        <v>2.4</v>
      </c>
      <c r="G14" s="187">
        <f t="shared" si="3"/>
        <v>22.392</v>
      </c>
      <c r="H14" s="187"/>
      <c r="I14" s="187"/>
      <c r="J14" s="187">
        <v>7.9</v>
      </c>
      <c r="K14" s="187">
        <f t="shared" si="0"/>
        <v>23.621000000000002</v>
      </c>
      <c r="L14" s="187"/>
      <c r="M14" s="187"/>
      <c r="N14" s="187"/>
      <c r="O14" s="187"/>
      <c r="P14" s="187"/>
      <c r="Q14" s="213"/>
      <c r="R14" s="214"/>
    </row>
    <row r="15" spans="1:18" ht="19.5" customHeight="1">
      <c r="A15" s="186">
        <v>1062</v>
      </c>
      <c r="B15" s="201" t="s">
        <v>215</v>
      </c>
      <c r="C15" s="187">
        <f t="shared" si="1"/>
        <v>71.51318998132663</v>
      </c>
      <c r="D15" s="187">
        <f>9.65/1.13+11.38/1.09+0.54</f>
        <v>19.520189981326624</v>
      </c>
      <c r="E15" s="187">
        <f t="shared" si="2"/>
        <v>51.993</v>
      </c>
      <c r="F15" s="187">
        <v>2.4</v>
      </c>
      <c r="G15" s="187">
        <f t="shared" si="3"/>
        <v>22.392</v>
      </c>
      <c r="H15" s="187"/>
      <c r="I15" s="187"/>
      <c r="J15" s="187">
        <v>9.9</v>
      </c>
      <c r="K15" s="187">
        <f t="shared" si="0"/>
        <v>29.601000000000003</v>
      </c>
      <c r="L15" s="187"/>
      <c r="M15" s="187"/>
      <c r="N15" s="187"/>
      <c r="O15" s="187"/>
      <c r="P15" s="187"/>
      <c r="Q15" s="213"/>
      <c r="R15" s="214"/>
    </row>
    <row r="16" spans="1:18" ht="19.5" customHeight="1">
      <c r="A16" s="186">
        <v>1066</v>
      </c>
      <c r="B16" s="201" t="s">
        <v>528</v>
      </c>
      <c r="C16" s="187">
        <f t="shared" si="1"/>
        <v>17.154768287732402</v>
      </c>
      <c r="D16" s="187">
        <f>0.81/1.13+2.12/1.09+0.08</f>
        <v>2.7417682877324023</v>
      </c>
      <c r="E16" s="187">
        <f t="shared" si="2"/>
        <v>14.413</v>
      </c>
      <c r="F16" s="187">
        <v>1</v>
      </c>
      <c r="G16" s="187">
        <f t="shared" si="3"/>
        <v>9.33</v>
      </c>
      <c r="H16" s="187"/>
      <c r="I16" s="187"/>
      <c r="J16" s="187">
        <v>1.7</v>
      </c>
      <c r="K16" s="187">
        <f t="shared" si="0"/>
        <v>5.083</v>
      </c>
      <c r="L16" s="187"/>
      <c r="M16" s="187"/>
      <c r="N16" s="187"/>
      <c r="O16" s="187"/>
      <c r="P16" s="187"/>
      <c r="Q16" s="213"/>
      <c r="R16" s="214"/>
    </row>
    <row r="17" spans="1:18" ht="19.5" customHeight="1">
      <c r="A17" s="186">
        <v>1095</v>
      </c>
      <c r="B17" s="201" t="s">
        <v>529</v>
      </c>
      <c r="C17" s="187" t="e">
        <f t="shared" si="1"/>
        <v>#REF!</v>
      </c>
      <c r="D17" s="187">
        <f>0.17/1.13+1.01/1.09</f>
        <v>1.0770479824632622</v>
      </c>
      <c r="E17" s="187" t="e">
        <f t="shared" si="2"/>
        <v>#REF!</v>
      </c>
      <c r="F17" s="187">
        <v>2</v>
      </c>
      <c r="G17" s="187">
        <f t="shared" si="3"/>
        <v>18.66</v>
      </c>
      <c r="H17" s="187"/>
      <c r="I17" s="187"/>
      <c r="J17" s="187"/>
      <c r="K17" s="187"/>
      <c r="L17" s="187">
        <v>2.5</v>
      </c>
      <c r="M17" s="187" t="e">
        <f>L17*$L$28</f>
        <v>#REF!</v>
      </c>
      <c r="N17" s="187"/>
      <c r="O17" s="187"/>
      <c r="P17" s="187"/>
      <c r="Q17" s="213"/>
      <c r="R17" s="214"/>
    </row>
    <row r="18" spans="1:18" ht="19.5" customHeight="1">
      <c r="A18" s="186">
        <v>1096</v>
      </c>
      <c r="B18" s="201" t="s">
        <v>305</v>
      </c>
      <c r="C18" s="187" t="e">
        <f t="shared" si="1"/>
        <v>#REF!</v>
      </c>
      <c r="D18" s="187">
        <f>0.54/1.13+1.89/1.09</f>
        <v>2.2118210603231305</v>
      </c>
      <c r="E18" s="187" t="e">
        <f t="shared" si="2"/>
        <v>#REF!</v>
      </c>
      <c r="F18" s="187"/>
      <c r="G18" s="187"/>
      <c r="H18" s="187"/>
      <c r="I18" s="187"/>
      <c r="J18" s="187"/>
      <c r="K18" s="187"/>
      <c r="L18" s="187"/>
      <c r="M18" s="187"/>
      <c r="N18" s="187">
        <v>180.1</v>
      </c>
      <c r="O18" s="187" t="e">
        <f>SUM(L29*N18)</f>
        <v>#REF!</v>
      </c>
      <c r="P18" s="187">
        <v>0.3</v>
      </c>
      <c r="Q18" s="215" t="e">
        <f>SUM(L30*P18)</f>
        <v>#REF!</v>
      </c>
      <c r="R18" s="214"/>
    </row>
    <row r="19" spans="1:18" ht="19.5" customHeight="1">
      <c r="A19" s="186">
        <v>1098</v>
      </c>
      <c r="B19" s="201" t="s">
        <v>530</v>
      </c>
      <c r="C19" s="187" t="e">
        <f t="shared" si="1"/>
        <v>#REF!</v>
      </c>
      <c r="D19" s="187">
        <f>0.48/1.13+1.68/1.09</f>
        <v>1.9660631647316715</v>
      </c>
      <c r="E19" s="187" t="e">
        <f t="shared" si="2"/>
        <v>#REF!</v>
      </c>
      <c r="F19" s="187"/>
      <c r="G19" s="187"/>
      <c r="H19" s="187"/>
      <c r="I19" s="187"/>
      <c r="J19" s="187"/>
      <c r="K19" s="187"/>
      <c r="L19" s="187"/>
      <c r="M19" s="187"/>
      <c r="N19" s="187">
        <v>74.5</v>
      </c>
      <c r="O19" s="187" t="e">
        <f>SUM(L29*N19)</f>
        <v>#REF!</v>
      </c>
      <c r="P19" s="187"/>
      <c r="Q19" s="213"/>
      <c r="R19" s="214"/>
    </row>
    <row r="20" spans="1:18" ht="19.5" customHeight="1">
      <c r="A20" s="186">
        <v>8019</v>
      </c>
      <c r="B20" s="201" t="s">
        <v>531</v>
      </c>
      <c r="C20" s="187" t="e">
        <f t="shared" si="1"/>
        <v>#REF!</v>
      </c>
      <c r="D20" s="187">
        <f>5.92/1.13+6.82/1.09+1.01</f>
        <v>12.5058187870423</v>
      </c>
      <c r="E20" s="187" t="e">
        <f t="shared" si="2"/>
        <v>#REF!</v>
      </c>
      <c r="F20" s="187">
        <v>1.8</v>
      </c>
      <c r="G20" s="187">
        <f t="shared" si="3"/>
        <v>16.794</v>
      </c>
      <c r="H20" s="187"/>
      <c r="I20" s="187"/>
      <c r="J20" s="187"/>
      <c r="K20" s="187"/>
      <c r="L20" s="187">
        <v>98.3</v>
      </c>
      <c r="M20" s="187" t="e">
        <f>L20*$L$28</f>
        <v>#REF!</v>
      </c>
      <c r="N20" s="187"/>
      <c r="O20" s="187"/>
      <c r="P20" s="187"/>
      <c r="Q20" s="213"/>
      <c r="R20" s="214"/>
    </row>
    <row r="21" spans="1:18" ht="19.5" customHeight="1">
      <c r="A21" s="186">
        <v>8020</v>
      </c>
      <c r="B21" s="201" t="s">
        <v>532</v>
      </c>
      <c r="C21" s="187" t="e">
        <f t="shared" si="1"/>
        <v>#REF!</v>
      </c>
      <c r="D21" s="187">
        <f>11.13/1.13+13.62/1.09+2.33</f>
        <v>24.674970366160593</v>
      </c>
      <c r="E21" s="187" t="e">
        <f t="shared" si="2"/>
        <v>#REF!</v>
      </c>
      <c r="F21" s="187">
        <v>1.8</v>
      </c>
      <c r="G21" s="187">
        <f t="shared" si="3"/>
        <v>16.794</v>
      </c>
      <c r="H21" s="187"/>
      <c r="I21" s="187"/>
      <c r="J21" s="187"/>
      <c r="K21" s="187"/>
      <c r="L21" s="187">
        <v>189</v>
      </c>
      <c r="M21" s="187" t="e">
        <f>L21*$L$28</f>
        <v>#REF!</v>
      </c>
      <c r="N21" s="187"/>
      <c r="O21" s="187"/>
      <c r="P21" s="187"/>
      <c r="Q21" s="213"/>
      <c r="R21" s="214"/>
    </row>
    <row r="22" spans="1:18" ht="19.5" customHeight="1">
      <c r="A22" s="186">
        <v>8010</v>
      </c>
      <c r="B22" s="201" t="s">
        <v>533</v>
      </c>
      <c r="C22" s="187" t="e">
        <f t="shared" si="1"/>
        <v>#REF!</v>
      </c>
      <c r="D22" s="187">
        <f>2.24/1.13+4.59/1.09+0.67</f>
        <v>6.863310059267679</v>
      </c>
      <c r="E22" s="187" t="e">
        <f t="shared" si="2"/>
        <v>#REF!</v>
      </c>
      <c r="F22" s="187">
        <v>1.3</v>
      </c>
      <c r="G22" s="187">
        <f t="shared" si="3"/>
        <v>12.129000000000001</v>
      </c>
      <c r="H22" s="187"/>
      <c r="I22" s="187"/>
      <c r="J22" s="187"/>
      <c r="K22" s="187"/>
      <c r="L22" s="187">
        <v>30.2</v>
      </c>
      <c r="M22" s="187" t="e">
        <f>L22*$L$28</f>
        <v>#REF!</v>
      </c>
      <c r="N22" s="187"/>
      <c r="O22" s="187"/>
      <c r="P22" s="187"/>
      <c r="Q22" s="213"/>
      <c r="R22" s="214"/>
    </row>
    <row r="23" spans="1:18" ht="19.5" customHeight="1">
      <c r="A23" s="206">
        <v>8011</v>
      </c>
      <c r="B23" s="201" t="s">
        <v>236</v>
      </c>
      <c r="C23" s="187" t="e">
        <f t="shared" si="1"/>
        <v>#REF!</v>
      </c>
      <c r="D23" s="196">
        <f>3.4/1.13+4.91/1.09+0.85</f>
        <v>8.363436713485427</v>
      </c>
      <c r="E23" s="187" t="e">
        <f t="shared" si="2"/>
        <v>#REF!</v>
      </c>
      <c r="F23" s="187">
        <v>1.3</v>
      </c>
      <c r="G23" s="187">
        <f t="shared" si="3"/>
        <v>12.129000000000001</v>
      </c>
      <c r="H23" s="196"/>
      <c r="I23" s="196"/>
      <c r="J23" s="196"/>
      <c r="K23" s="187"/>
      <c r="L23" s="196">
        <v>45.4</v>
      </c>
      <c r="M23" s="196" t="e">
        <f>L23*$L$28</f>
        <v>#REF!</v>
      </c>
      <c r="N23" s="196"/>
      <c r="O23" s="196"/>
      <c r="P23" s="196"/>
      <c r="Q23" s="216"/>
      <c r="R23" s="217"/>
    </row>
    <row r="24" spans="1:18" ht="19.5" customHeight="1">
      <c r="A24" s="206">
        <v>8028</v>
      </c>
      <c r="B24" s="207" t="s">
        <v>534</v>
      </c>
      <c r="C24" s="187" t="e">
        <f t="shared" si="1"/>
        <v>#REF!</v>
      </c>
      <c r="D24" s="196">
        <f>2.05/1.13+4.36/1.09+0.59</f>
        <v>6.4041592920353985</v>
      </c>
      <c r="E24" s="187" t="e">
        <f t="shared" si="2"/>
        <v>#REF!</v>
      </c>
      <c r="F24" s="196">
        <v>1.8</v>
      </c>
      <c r="G24" s="196">
        <f t="shared" si="3"/>
        <v>16.794</v>
      </c>
      <c r="H24" s="196"/>
      <c r="I24" s="196"/>
      <c r="J24" s="196">
        <v>7.4</v>
      </c>
      <c r="K24" s="187" t="e">
        <f>J24*$G$31</f>
        <v>#REF!</v>
      </c>
      <c r="L24" s="196"/>
      <c r="M24" s="196"/>
      <c r="N24" s="196"/>
      <c r="O24" s="196"/>
      <c r="P24" s="196"/>
      <c r="Q24" s="216"/>
      <c r="R24" s="217"/>
    </row>
    <row r="25" spans="1:18" ht="19.5" customHeight="1">
      <c r="A25" s="206">
        <v>8031</v>
      </c>
      <c r="B25" s="207" t="s">
        <v>238</v>
      </c>
      <c r="C25" s="187" t="e">
        <f t="shared" si="1"/>
        <v>#REF!</v>
      </c>
      <c r="D25" s="196">
        <f>3.26/1.13+6.74/1.09+1.02</f>
        <v>10.0884419907445</v>
      </c>
      <c r="E25" s="187" t="e">
        <f t="shared" si="2"/>
        <v>#REF!</v>
      </c>
      <c r="F25" s="196">
        <v>2.4</v>
      </c>
      <c r="G25" s="196">
        <f t="shared" si="3"/>
        <v>22.392</v>
      </c>
      <c r="H25" s="196"/>
      <c r="I25" s="196"/>
      <c r="J25" s="196">
        <v>13.8</v>
      </c>
      <c r="K25" s="187" t="e">
        <f>J25*$G$31</f>
        <v>#REF!</v>
      </c>
      <c r="L25" s="196"/>
      <c r="M25" s="196"/>
      <c r="N25" s="196"/>
      <c r="O25" s="196"/>
      <c r="P25" s="196"/>
      <c r="Q25" s="216"/>
      <c r="R25" s="217"/>
    </row>
    <row r="26" spans="1:18" ht="19.5" customHeight="1" hidden="1">
      <c r="A26" s="186">
        <v>8032</v>
      </c>
      <c r="B26" s="184" t="s">
        <v>535</v>
      </c>
      <c r="C26" s="187" t="e">
        <f t="shared" si="1"/>
        <v>#REF!</v>
      </c>
      <c r="D26" s="196">
        <f>3.79/1.15+7.51/1.11+1.14</f>
        <v>11.201417939678809</v>
      </c>
      <c r="E26" s="187" t="e">
        <f t="shared" si="2"/>
        <v>#REF!</v>
      </c>
      <c r="F26" s="196">
        <v>2.4</v>
      </c>
      <c r="G26" s="196">
        <f t="shared" si="3"/>
        <v>22.392</v>
      </c>
      <c r="H26" s="196"/>
      <c r="I26" s="196"/>
      <c r="J26" s="196">
        <v>18.6</v>
      </c>
      <c r="K26" s="187" t="e">
        <f>J26*$G$31</f>
        <v>#REF!</v>
      </c>
      <c r="L26" s="196"/>
      <c r="M26" s="196"/>
      <c r="N26" s="196"/>
      <c r="O26" s="196"/>
      <c r="P26" s="196"/>
      <c r="Q26" s="216"/>
      <c r="R26" s="217"/>
    </row>
    <row r="27" spans="1:18" ht="19.5" customHeight="1">
      <c r="A27" s="208">
        <v>2002</v>
      </c>
      <c r="B27" s="209" t="s">
        <v>536</v>
      </c>
      <c r="C27" s="192" t="e">
        <f t="shared" si="1"/>
        <v>#REF!</v>
      </c>
      <c r="D27" s="192">
        <f>3.29/1.13+5.34/1.09+1.07</f>
        <v>8.8805869935861</v>
      </c>
      <c r="E27" s="192" t="e">
        <f t="shared" si="2"/>
        <v>#REF!</v>
      </c>
      <c r="F27" s="192">
        <v>1.3</v>
      </c>
      <c r="G27" s="192">
        <f t="shared" si="3"/>
        <v>12.129000000000001</v>
      </c>
      <c r="H27" s="192"/>
      <c r="I27" s="192"/>
      <c r="J27" s="192"/>
      <c r="K27" s="192"/>
      <c r="L27" s="192">
        <v>8.6</v>
      </c>
      <c r="M27" s="192" t="e">
        <f>L27*L28</f>
        <v>#REF!</v>
      </c>
      <c r="N27" s="192"/>
      <c r="O27" s="192"/>
      <c r="P27" s="192"/>
      <c r="Q27" s="218"/>
      <c r="R27" s="219"/>
    </row>
    <row r="28" spans="2:18" ht="20.25" customHeight="1">
      <c r="B28" s="210"/>
      <c r="C28" s="507" t="s">
        <v>537</v>
      </c>
      <c r="D28" s="507"/>
      <c r="E28" s="507"/>
      <c r="F28" s="507"/>
      <c r="G28" s="204">
        <f>'人工'!E7</f>
        <v>9.33</v>
      </c>
      <c r="H28" s="212"/>
      <c r="I28" s="507" t="s">
        <v>538</v>
      </c>
      <c r="J28" s="507"/>
      <c r="K28" s="507"/>
      <c r="L28" s="204" t="e">
        <f>#REF!</f>
        <v>#REF!</v>
      </c>
      <c r="M28" s="212"/>
      <c r="N28" s="212"/>
      <c r="O28" s="212"/>
      <c r="P28" s="212"/>
      <c r="Q28" s="212"/>
      <c r="R28" s="212"/>
    </row>
    <row r="29" spans="2:18" ht="20.25" customHeight="1">
      <c r="B29" s="212"/>
      <c r="C29" s="507" t="s">
        <v>539</v>
      </c>
      <c r="D29" s="507"/>
      <c r="E29" s="507"/>
      <c r="F29" s="507"/>
      <c r="G29" s="195">
        <f>3075/1000</f>
        <v>3.075</v>
      </c>
      <c r="H29" s="212"/>
      <c r="I29" s="507" t="s">
        <v>540</v>
      </c>
      <c r="J29" s="507"/>
      <c r="K29" s="507"/>
      <c r="L29" s="195" t="e">
        <f>#REF!</f>
        <v>#REF!</v>
      </c>
      <c r="M29" s="212"/>
      <c r="N29" s="212"/>
      <c r="O29" s="212"/>
      <c r="P29" s="212"/>
      <c r="Q29" s="212"/>
      <c r="R29" s="212"/>
    </row>
    <row r="30" spans="2:18" ht="20.25" customHeight="1">
      <c r="B30" s="212"/>
      <c r="C30" s="507" t="s">
        <v>541</v>
      </c>
      <c r="D30" s="507"/>
      <c r="E30" s="507"/>
      <c r="F30" s="507"/>
      <c r="G30" s="195">
        <f>2990/1000</f>
        <v>2.99</v>
      </c>
      <c r="H30" s="212"/>
      <c r="I30" s="507" t="s">
        <v>542</v>
      </c>
      <c r="J30" s="507"/>
      <c r="K30" s="507"/>
      <c r="L30" s="195" t="e">
        <f>#REF!</f>
        <v>#REF!</v>
      </c>
      <c r="M30" s="212"/>
      <c r="N30" s="212"/>
      <c r="O30" s="212"/>
      <c r="P30" s="212"/>
      <c r="Q30" s="212"/>
      <c r="R30" s="212"/>
    </row>
    <row r="31" spans="2:7" ht="14.25">
      <c r="B31" s="193" t="s">
        <v>543</v>
      </c>
      <c r="C31" s="507" t="s">
        <v>541</v>
      </c>
      <c r="D31" s="507"/>
      <c r="E31" s="507"/>
      <c r="F31" s="507"/>
      <c r="G31" s="195" t="e">
        <f>SUM(#REF!/1000)</f>
        <v>#REF!</v>
      </c>
    </row>
    <row r="35" ht="36" customHeight="1"/>
  </sheetData>
  <sheetProtection/>
  <mergeCells count="21">
    <mergeCell ref="L3:M3"/>
    <mergeCell ref="C28:F28"/>
    <mergeCell ref="I28:K28"/>
    <mergeCell ref="C29:F29"/>
    <mergeCell ref="I29:K29"/>
    <mergeCell ref="I30:K30"/>
    <mergeCell ref="A1:R1"/>
    <mergeCell ref="F2:Q2"/>
    <mergeCell ref="F3:G3"/>
    <mergeCell ref="H3:I3"/>
    <mergeCell ref="J3:K3"/>
    <mergeCell ref="C30:F30"/>
    <mergeCell ref="N3:O3"/>
    <mergeCell ref="P3:Q3"/>
    <mergeCell ref="R2:R4"/>
    <mergeCell ref="C31:F31"/>
    <mergeCell ref="A2:A4"/>
    <mergeCell ref="B2:B4"/>
    <mergeCell ref="C2:C4"/>
    <mergeCell ref="D2:D4"/>
    <mergeCell ref="E2:E4"/>
  </mergeCells>
  <printOptions horizontalCentered="1" verticalCentered="1"/>
  <pageMargins left="0.35433070866141736" right="0.35433070866141736" top="0.7874015748031497" bottom="0.5905511811023623" header="0.5118110236220472" footer="0.5118110236220472"/>
  <pageSetup horizontalDpi="1200" verticalDpi="12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25"/>
  <sheetViews>
    <sheetView zoomScale="145" zoomScaleNormal="145" workbookViewId="0" topLeftCell="A4">
      <selection activeCell="G24" sqref="G24"/>
    </sheetView>
  </sheetViews>
  <sheetFormatPr defaultColWidth="8.625" defaultRowHeight="14.25"/>
  <cols>
    <col min="1" max="1" width="4.75390625" style="0" customWidth="1"/>
    <col min="2" max="2" width="21.00390625" style="0" customWidth="1"/>
    <col min="3" max="3" width="8.25390625" style="0" customWidth="1"/>
    <col min="4" max="4" width="6.25390625" style="0" customWidth="1"/>
    <col min="5" max="5" width="6.50390625" style="0" customWidth="1"/>
    <col min="6" max="6" width="7.25390625" style="0" customWidth="1"/>
    <col min="7" max="14" width="6.625" style="0" customWidth="1"/>
    <col min="15" max="17" width="5.75390625" style="0" customWidth="1"/>
    <col min="18" max="18" width="6.125" style="0" customWidth="1"/>
    <col min="19" max="35" width="8.75390625" style="0" customWidth="1"/>
  </cols>
  <sheetData>
    <row r="1" spans="1:18" ht="20.25">
      <c r="A1" s="428" t="s">
        <v>504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9.5" customHeight="1">
      <c r="A2" s="512" t="s">
        <v>505</v>
      </c>
      <c r="B2" s="514" t="s">
        <v>184</v>
      </c>
      <c r="C2" s="516" t="s">
        <v>506</v>
      </c>
      <c r="D2" s="516" t="s">
        <v>507</v>
      </c>
      <c r="E2" s="516" t="s">
        <v>508</v>
      </c>
      <c r="F2" s="521" t="s">
        <v>509</v>
      </c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10" t="s">
        <v>510</v>
      </c>
    </row>
    <row r="3" spans="1:18" ht="19.5" customHeight="1">
      <c r="A3" s="513"/>
      <c r="B3" s="515"/>
      <c r="C3" s="517"/>
      <c r="D3" s="517"/>
      <c r="E3" s="517"/>
      <c r="F3" s="517" t="s">
        <v>511</v>
      </c>
      <c r="G3" s="517"/>
      <c r="H3" s="517" t="s">
        <v>204</v>
      </c>
      <c r="I3" s="517"/>
      <c r="J3" s="517" t="s">
        <v>203</v>
      </c>
      <c r="K3" s="517"/>
      <c r="L3" s="517" t="s">
        <v>512</v>
      </c>
      <c r="M3" s="517"/>
      <c r="N3" s="517" t="s">
        <v>513</v>
      </c>
      <c r="O3" s="517"/>
      <c r="P3" s="517" t="s">
        <v>278</v>
      </c>
      <c r="Q3" s="517"/>
      <c r="R3" s="511"/>
    </row>
    <row r="4" spans="1:18" ht="32.25" customHeight="1">
      <c r="A4" s="513"/>
      <c r="B4" s="515"/>
      <c r="C4" s="517"/>
      <c r="D4" s="517"/>
      <c r="E4" s="517"/>
      <c r="F4" s="185" t="s">
        <v>544</v>
      </c>
      <c r="G4" s="185" t="s">
        <v>515</v>
      </c>
      <c r="H4" s="185" t="s">
        <v>545</v>
      </c>
      <c r="I4" s="185" t="s">
        <v>515</v>
      </c>
      <c r="J4" s="185" t="s">
        <v>545</v>
      </c>
      <c r="K4" s="185" t="s">
        <v>515</v>
      </c>
      <c r="L4" s="185" t="s">
        <v>546</v>
      </c>
      <c r="M4" s="185" t="s">
        <v>515</v>
      </c>
      <c r="N4" s="185" t="s">
        <v>547</v>
      </c>
      <c r="O4" s="185" t="s">
        <v>515</v>
      </c>
      <c r="P4" s="185" t="s">
        <v>547</v>
      </c>
      <c r="Q4" s="185" t="s">
        <v>515</v>
      </c>
      <c r="R4" s="511"/>
    </row>
    <row r="5" spans="1:18" ht="19.5" customHeight="1">
      <c r="A5" s="183">
        <v>2032</v>
      </c>
      <c r="B5" s="184" t="s">
        <v>548</v>
      </c>
      <c r="C5" s="187" t="e">
        <f>D5+E5+R5</f>
        <v>#REF!</v>
      </c>
      <c r="D5" s="185">
        <f>30.48/1.13+20.63/1.09+2.1</f>
        <v>48.00005683202079</v>
      </c>
      <c r="E5" s="187" t="e">
        <f>G5+I5+K5+M5+O5+Q5</f>
        <v>#REF!</v>
      </c>
      <c r="F5" s="185">
        <v>2.4</v>
      </c>
      <c r="G5" s="187">
        <f>F5*$G$23</f>
        <v>22.392</v>
      </c>
      <c r="H5" s="185"/>
      <c r="I5" s="185"/>
      <c r="J5" s="185"/>
      <c r="K5" s="185"/>
      <c r="L5" s="185">
        <v>26.7</v>
      </c>
      <c r="M5" s="187" t="e">
        <f aca="true" t="shared" si="0" ref="M5:M10">L5*$L$23</f>
        <v>#REF!</v>
      </c>
      <c r="N5" s="185"/>
      <c r="O5" s="185"/>
      <c r="P5" s="185"/>
      <c r="Q5" s="185"/>
      <c r="R5" s="197"/>
    </row>
    <row r="6" spans="1:18" ht="19.5" customHeight="1">
      <c r="A6" s="186">
        <v>2047</v>
      </c>
      <c r="B6" s="201" t="s">
        <v>549</v>
      </c>
      <c r="C6" s="187" t="e">
        <f>D6+E6+R6</f>
        <v>#REF!</v>
      </c>
      <c r="D6" s="187">
        <f>0.32/1.13+1.22/1.09</f>
        <v>1.402451895753836</v>
      </c>
      <c r="E6" s="187" t="e">
        <f>G6+I6+K6+M6+O6+Q6</f>
        <v>#REF!</v>
      </c>
      <c r="F6" s="187"/>
      <c r="G6" s="187"/>
      <c r="H6" s="187"/>
      <c r="I6" s="187"/>
      <c r="J6" s="187"/>
      <c r="K6" s="187"/>
      <c r="L6" s="187">
        <v>0.8</v>
      </c>
      <c r="M6" s="187" t="e">
        <f t="shared" si="0"/>
        <v>#REF!</v>
      </c>
      <c r="N6" s="187"/>
      <c r="O6" s="187"/>
      <c r="P6" s="187"/>
      <c r="Q6" s="187"/>
      <c r="R6" s="198"/>
    </row>
    <row r="7" spans="1:18" ht="19.5" customHeight="1">
      <c r="A7" s="186">
        <v>2048</v>
      </c>
      <c r="B7" s="201" t="s">
        <v>550</v>
      </c>
      <c r="C7" s="187" t="e">
        <f aca="true" t="shared" si="1" ref="C7:C22">D7+E7+R7</f>
        <v>#REF!</v>
      </c>
      <c r="D7" s="187">
        <f>0.51/1.13+1.8/1.09</f>
        <v>2.1027035804173093</v>
      </c>
      <c r="E7" s="187" t="e">
        <f aca="true" t="shared" si="2" ref="E7:E21">G7+I7+K7+M7+O7+Q7</f>
        <v>#REF!</v>
      </c>
      <c r="F7" s="187"/>
      <c r="G7" s="187"/>
      <c r="H7" s="187"/>
      <c r="I7" s="187"/>
      <c r="J7" s="187"/>
      <c r="K7" s="187"/>
      <c r="L7" s="187">
        <v>1.1</v>
      </c>
      <c r="M7" s="187" t="e">
        <f t="shared" si="0"/>
        <v>#REF!</v>
      </c>
      <c r="N7" s="187"/>
      <c r="O7" s="187"/>
      <c r="P7" s="187"/>
      <c r="Q7" s="187"/>
      <c r="R7" s="198"/>
    </row>
    <row r="8" spans="1:18" ht="19.5" customHeight="1">
      <c r="A8" s="186">
        <v>2049</v>
      </c>
      <c r="B8" s="201" t="s">
        <v>551</v>
      </c>
      <c r="C8" s="187" t="e">
        <f t="shared" si="1"/>
        <v>#REF!</v>
      </c>
      <c r="D8" s="187">
        <f>0.54/1.13+1.86/1.09</f>
        <v>2.1842981245433144</v>
      </c>
      <c r="E8" s="187" t="e">
        <f t="shared" si="2"/>
        <v>#REF!</v>
      </c>
      <c r="F8" s="187"/>
      <c r="G8" s="187"/>
      <c r="H8" s="187"/>
      <c r="I8" s="187"/>
      <c r="J8" s="187"/>
      <c r="K8" s="187"/>
      <c r="L8" s="187">
        <v>1.7</v>
      </c>
      <c r="M8" s="187" t="e">
        <f t="shared" si="0"/>
        <v>#REF!</v>
      </c>
      <c r="N8" s="187"/>
      <c r="O8" s="187"/>
      <c r="P8" s="187"/>
      <c r="Q8" s="187"/>
      <c r="R8" s="198"/>
    </row>
    <row r="9" spans="1:18" ht="19.5" customHeight="1">
      <c r="A9" s="186">
        <v>2051</v>
      </c>
      <c r="B9" s="201" t="s">
        <v>552</v>
      </c>
      <c r="C9" s="187" t="e">
        <f t="shared" si="1"/>
        <v>#REF!</v>
      </c>
      <c r="D9" s="187">
        <f>0.43/1.13+1.24/1.09</f>
        <v>1.5181456523504098</v>
      </c>
      <c r="E9" s="187" t="e">
        <f t="shared" si="2"/>
        <v>#REF!</v>
      </c>
      <c r="F9" s="187"/>
      <c r="G9" s="187"/>
      <c r="H9" s="187"/>
      <c r="I9" s="187"/>
      <c r="J9" s="187"/>
      <c r="K9" s="187"/>
      <c r="L9" s="187">
        <v>1.7</v>
      </c>
      <c r="M9" s="187" t="e">
        <f t="shared" si="0"/>
        <v>#REF!</v>
      </c>
      <c r="N9" s="187"/>
      <c r="O9" s="187"/>
      <c r="P9" s="187"/>
      <c r="Q9" s="187"/>
      <c r="R9" s="198"/>
    </row>
    <row r="10" spans="1:18" ht="19.5" customHeight="1">
      <c r="A10" s="186">
        <v>2052</v>
      </c>
      <c r="B10" s="201" t="s">
        <v>471</v>
      </c>
      <c r="C10" s="187" t="e">
        <f t="shared" si="1"/>
        <v>#REF!</v>
      </c>
      <c r="D10" s="187">
        <f>3.48/1.13+7.96/1.09</f>
        <v>10.382398311277097</v>
      </c>
      <c r="E10" s="187" t="e">
        <f t="shared" si="2"/>
        <v>#REF!</v>
      </c>
      <c r="F10" s="187"/>
      <c r="G10" s="187"/>
      <c r="H10" s="187"/>
      <c r="I10" s="187"/>
      <c r="J10" s="187"/>
      <c r="K10" s="187"/>
      <c r="L10" s="187">
        <v>6.4</v>
      </c>
      <c r="M10" s="187" t="e">
        <f t="shared" si="0"/>
        <v>#REF!</v>
      </c>
      <c r="N10" s="187"/>
      <c r="O10" s="187"/>
      <c r="P10" s="187"/>
      <c r="Q10" s="187"/>
      <c r="R10" s="198"/>
    </row>
    <row r="11" spans="1:18" ht="19.5" customHeight="1">
      <c r="A11" s="186">
        <v>2054</v>
      </c>
      <c r="B11" s="201" t="s">
        <v>553</v>
      </c>
      <c r="C11" s="187">
        <f t="shared" si="1"/>
        <v>139.92509547779494</v>
      </c>
      <c r="D11" s="187">
        <f>68.97/1.13+48/1.09</f>
        <v>105.07209547779493</v>
      </c>
      <c r="E11" s="187">
        <f t="shared" si="2"/>
        <v>34.853</v>
      </c>
      <c r="F11" s="187">
        <v>1.3</v>
      </c>
      <c r="G11" s="187">
        <f aca="true" t="shared" si="3" ref="G11:G21">F11*$G$23</f>
        <v>12.129000000000001</v>
      </c>
      <c r="H11" s="187"/>
      <c r="I11" s="187"/>
      <c r="J11" s="187">
        <v>7.6</v>
      </c>
      <c r="K11" s="187">
        <f>J11*$G$25</f>
        <v>22.724</v>
      </c>
      <c r="L11" s="187"/>
      <c r="M11" s="187"/>
      <c r="N11" s="187"/>
      <c r="O11" s="187"/>
      <c r="P11" s="187"/>
      <c r="Q11" s="187"/>
      <c r="R11" s="198"/>
    </row>
    <row r="12" spans="1:18" ht="19.5" customHeight="1">
      <c r="A12" s="186">
        <v>2080</v>
      </c>
      <c r="B12" s="205" t="s">
        <v>554</v>
      </c>
      <c r="C12" s="187" t="e">
        <f t="shared" si="1"/>
        <v>#REF!</v>
      </c>
      <c r="D12" s="187">
        <f>0.24/1.13+0.42/1.09</f>
        <v>0.5977104814484047</v>
      </c>
      <c r="E12" s="187" t="e">
        <f t="shared" si="2"/>
        <v>#REF!</v>
      </c>
      <c r="F12" s="187"/>
      <c r="G12" s="187">
        <f t="shared" si="3"/>
        <v>0</v>
      </c>
      <c r="H12" s="187"/>
      <c r="I12" s="187"/>
      <c r="J12" s="187"/>
      <c r="K12" s="187"/>
      <c r="L12" s="187"/>
      <c r="M12" s="187"/>
      <c r="N12" s="187">
        <v>202.5</v>
      </c>
      <c r="O12" s="187" t="e">
        <f>N12*$L$24</f>
        <v>#REF!</v>
      </c>
      <c r="P12" s="187">
        <v>4.1</v>
      </c>
      <c r="Q12" s="187" t="e">
        <f>P12*$L$25</f>
        <v>#REF!</v>
      </c>
      <c r="R12" s="198"/>
    </row>
    <row r="13" spans="1:18" ht="19.5" customHeight="1">
      <c r="A13" s="186">
        <v>3004</v>
      </c>
      <c r="B13" s="201" t="s">
        <v>223</v>
      </c>
      <c r="C13" s="187">
        <f t="shared" si="1"/>
        <v>51.10840894698385</v>
      </c>
      <c r="D13" s="187">
        <f>7.77/1.13+10.86/1.09</f>
        <v>16.839408946983845</v>
      </c>
      <c r="E13" s="187">
        <f t="shared" si="2"/>
        <v>34.269000000000005</v>
      </c>
      <c r="F13" s="187">
        <v>1.3</v>
      </c>
      <c r="G13" s="187">
        <f t="shared" si="3"/>
        <v>12.129000000000001</v>
      </c>
      <c r="H13" s="187">
        <v>7.2</v>
      </c>
      <c r="I13" s="187">
        <f>H13*$G$24</f>
        <v>22.14</v>
      </c>
      <c r="J13" s="187"/>
      <c r="K13" s="187"/>
      <c r="L13" s="187"/>
      <c r="M13" s="187"/>
      <c r="N13" s="187"/>
      <c r="O13" s="187"/>
      <c r="P13" s="187"/>
      <c r="Q13" s="187"/>
      <c r="R13" s="198"/>
    </row>
    <row r="14" spans="1:18" ht="19.5" customHeight="1">
      <c r="A14" s="186">
        <v>3007</v>
      </c>
      <c r="B14" s="201" t="s">
        <v>336</v>
      </c>
      <c r="C14" s="187">
        <f t="shared" si="1"/>
        <v>76.38074044004223</v>
      </c>
      <c r="D14" s="187">
        <f>20.95/1.13+20.82/1.09</f>
        <v>37.64074044004222</v>
      </c>
      <c r="E14" s="187">
        <f t="shared" si="2"/>
        <v>38.74000000000001</v>
      </c>
      <c r="F14" s="187">
        <v>1.3</v>
      </c>
      <c r="G14" s="187">
        <f t="shared" si="3"/>
        <v>12.129000000000001</v>
      </c>
      <c r="H14" s="187"/>
      <c r="I14" s="187"/>
      <c r="J14" s="187">
        <v>8.9</v>
      </c>
      <c r="K14" s="187">
        <f>J14*$G$25</f>
        <v>26.611000000000004</v>
      </c>
      <c r="L14" s="187"/>
      <c r="M14" s="187"/>
      <c r="N14" s="187"/>
      <c r="O14" s="187"/>
      <c r="P14" s="187"/>
      <c r="Q14" s="187"/>
      <c r="R14" s="198"/>
    </row>
    <row r="15" spans="1:18" ht="19.5" customHeight="1">
      <c r="A15" s="186">
        <v>3011</v>
      </c>
      <c r="B15" s="201" t="s">
        <v>555</v>
      </c>
      <c r="C15" s="187">
        <f t="shared" si="1"/>
        <v>46.12285321100918</v>
      </c>
      <c r="D15" s="187">
        <f>7.91/1.13+3.95/1.09</f>
        <v>10.623853211009175</v>
      </c>
      <c r="E15" s="187">
        <f t="shared" si="2"/>
        <v>35.499</v>
      </c>
      <c r="F15" s="187">
        <v>1.3</v>
      </c>
      <c r="G15" s="187">
        <f t="shared" si="3"/>
        <v>12.129000000000001</v>
      </c>
      <c r="H15" s="187">
        <v>7.6</v>
      </c>
      <c r="I15" s="187">
        <f>H15*$G$24</f>
        <v>23.37</v>
      </c>
      <c r="J15" s="187"/>
      <c r="K15" s="187"/>
      <c r="L15" s="187"/>
      <c r="M15" s="187"/>
      <c r="N15" s="187"/>
      <c r="O15" s="187"/>
      <c r="P15" s="187"/>
      <c r="Q15" s="187"/>
      <c r="R15" s="198"/>
    </row>
    <row r="16" spans="1:18" ht="19.5" customHeight="1">
      <c r="A16" s="186">
        <v>3012</v>
      </c>
      <c r="B16" s="201" t="s">
        <v>556</v>
      </c>
      <c r="C16" s="187">
        <f t="shared" si="1"/>
        <v>53.760180725826096</v>
      </c>
      <c r="D16" s="187">
        <f>10.73/1.13+5.37/1.09</f>
        <v>14.422180725826095</v>
      </c>
      <c r="E16" s="187">
        <f t="shared" si="2"/>
        <v>39.338</v>
      </c>
      <c r="F16" s="187">
        <v>1.3</v>
      </c>
      <c r="G16" s="187">
        <f t="shared" si="3"/>
        <v>12.129000000000001</v>
      </c>
      <c r="H16" s="187"/>
      <c r="I16" s="187"/>
      <c r="J16" s="187">
        <v>9.1</v>
      </c>
      <c r="K16" s="187">
        <f>J16*$G$25</f>
        <v>27.209</v>
      </c>
      <c r="L16" s="187"/>
      <c r="M16" s="187"/>
      <c r="N16" s="187"/>
      <c r="O16" s="187"/>
      <c r="P16" s="187"/>
      <c r="Q16" s="187"/>
      <c r="R16" s="198"/>
    </row>
    <row r="17" spans="1:18" ht="19.5" customHeight="1">
      <c r="A17" s="186">
        <v>3013</v>
      </c>
      <c r="B17" s="201" t="s">
        <v>224</v>
      </c>
      <c r="C17" s="187">
        <f t="shared" si="1"/>
        <v>75.04934310302835</v>
      </c>
      <c r="D17" s="187">
        <f>22.59/1.13+13.55/1.09+0</f>
        <v>32.42234310302834</v>
      </c>
      <c r="E17" s="187">
        <f t="shared" si="2"/>
        <v>42.627</v>
      </c>
      <c r="F17" s="187">
        <v>1.3</v>
      </c>
      <c r="G17" s="187">
        <f t="shared" si="3"/>
        <v>12.129000000000001</v>
      </c>
      <c r="H17" s="187"/>
      <c r="I17" s="187"/>
      <c r="J17" s="187">
        <v>10.2</v>
      </c>
      <c r="K17" s="187">
        <f>J17*$G$25</f>
        <v>30.498</v>
      </c>
      <c r="L17" s="187"/>
      <c r="M17" s="187"/>
      <c r="N17" s="187"/>
      <c r="O17" s="187"/>
      <c r="P17" s="187"/>
      <c r="Q17" s="187"/>
      <c r="R17" s="198"/>
    </row>
    <row r="18" spans="1:18" ht="19.5" customHeight="1">
      <c r="A18" s="186">
        <v>3015</v>
      </c>
      <c r="B18" s="201" t="s">
        <v>557</v>
      </c>
      <c r="C18" s="187">
        <f t="shared" si="1"/>
        <v>88.19229171064383</v>
      </c>
      <c r="D18" s="187">
        <f>30.49/1.13+18.3/1.09</f>
        <v>43.77129171064382</v>
      </c>
      <c r="E18" s="187">
        <f t="shared" si="2"/>
        <v>44.42100000000001</v>
      </c>
      <c r="F18" s="187">
        <v>1.3</v>
      </c>
      <c r="G18" s="187">
        <f t="shared" si="3"/>
        <v>12.129000000000001</v>
      </c>
      <c r="H18" s="187"/>
      <c r="I18" s="187"/>
      <c r="J18" s="187">
        <v>10.8</v>
      </c>
      <c r="K18" s="187">
        <f>J18*$G$25</f>
        <v>32.292</v>
      </c>
      <c r="L18" s="187"/>
      <c r="M18" s="187"/>
      <c r="N18" s="187"/>
      <c r="O18" s="187"/>
      <c r="P18" s="187"/>
      <c r="Q18" s="187"/>
      <c r="R18" s="198"/>
    </row>
    <row r="19" spans="1:18" ht="19.5" customHeight="1">
      <c r="A19" s="186">
        <v>3016</v>
      </c>
      <c r="B19" s="201" t="s">
        <v>558</v>
      </c>
      <c r="C19" s="187">
        <f t="shared" si="1"/>
        <v>101.3259710156694</v>
      </c>
      <c r="D19" s="187">
        <f>34.13/1.13+23.89/1.09</f>
        <v>52.1209710156694</v>
      </c>
      <c r="E19" s="187">
        <f t="shared" si="2"/>
        <v>49.205</v>
      </c>
      <c r="F19" s="187">
        <v>1.3</v>
      </c>
      <c r="G19" s="187">
        <f t="shared" si="3"/>
        <v>12.129000000000001</v>
      </c>
      <c r="H19" s="187"/>
      <c r="I19" s="187"/>
      <c r="J19" s="187">
        <v>12.4</v>
      </c>
      <c r="K19" s="187">
        <f>J19*$G$25</f>
        <v>37.076</v>
      </c>
      <c r="L19" s="187"/>
      <c r="M19" s="187"/>
      <c r="N19" s="187"/>
      <c r="O19" s="187"/>
      <c r="P19" s="187"/>
      <c r="Q19" s="187"/>
      <c r="R19" s="198"/>
    </row>
    <row r="20" spans="1:18" ht="19.5" customHeight="1">
      <c r="A20" s="186">
        <v>3019</v>
      </c>
      <c r="B20" s="201" t="s">
        <v>559</v>
      </c>
      <c r="C20" s="187">
        <f t="shared" si="1"/>
        <v>135.41225452626452</v>
      </c>
      <c r="D20" s="187">
        <f>50.53/1.13+32.84/1.09</f>
        <v>74.84525452626451</v>
      </c>
      <c r="E20" s="187">
        <f t="shared" si="2"/>
        <v>60.56700000000001</v>
      </c>
      <c r="F20" s="187">
        <v>1.3</v>
      </c>
      <c r="G20" s="187">
        <f t="shared" si="3"/>
        <v>12.129000000000001</v>
      </c>
      <c r="H20" s="187"/>
      <c r="I20" s="187"/>
      <c r="J20" s="187">
        <v>16.2</v>
      </c>
      <c r="K20" s="187">
        <f>J20*$G$25</f>
        <v>48.438</v>
      </c>
      <c r="L20" s="187"/>
      <c r="M20" s="187"/>
      <c r="N20" s="187"/>
      <c r="O20" s="187"/>
      <c r="P20" s="187"/>
      <c r="Q20" s="187"/>
      <c r="R20" s="198"/>
    </row>
    <row r="21" spans="1:18" ht="19.5" customHeight="1">
      <c r="A21" s="206">
        <v>3053</v>
      </c>
      <c r="B21" s="207" t="s">
        <v>560</v>
      </c>
      <c r="C21" s="187">
        <f t="shared" si="1"/>
        <v>54.47969172688155</v>
      </c>
      <c r="D21" s="196">
        <f>11.29/1.13+12.48/1.09</f>
        <v>21.440691726881546</v>
      </c>
      <c r="E21" s="187">
        <f t="shared" si="2"/>
        <v>33.039</v>
      </c>
      <c r="F21" s="196">
        <v>1.3</v>
      </c>
      <c r="G21" s="196">
        <f t="shared" si="3"/>
        <v>12.129000000000001</v>
      </c>
      <c r="H21" s="196">
        <v>6.8</v>
      </c>
      <c r="I21" s="187">
        <f>H21*$G$24</f>
        <v>20.91</v>
      </c>
      <c r="J21" s="196"/>
      <c r="K21" s="196"/>
      <c r="L21" s="196"/>
      <c r="M21" s="196"/>
      <c r="N21" s="196"/>
      <c r="O21" s="196"/>
      <c r="P21" s="196"/>
      <c r="Q21" s="196"/>
      <c r="R21" s="199"/>
    </row>
    <row r="22" spans="1:18" ht="19.5" customHeight="1">
      <c r="A22" s="208">
        <v>3074</v>
      </c>
      <c r="B22" s="209" t="s">
        <v>227</v>
      </c>
      <c r="C22" s="192">
        <f t="shared" si="1"/>
        <v>0.8172444588779735</v>
      </c>
      <c r="D22" s="192">
        <f>0.26/1.13+0.64/1.09</f>
        <v>0.8172444588779735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200"/>
    </row>
    <row r="23" spans="2:18" ht="20.25" customHeight="1">
      <c r="B23" s="210"/>
      <c r="C23" s="507" t="s">
        <v>537</v>
      </c>
      <c r="D23" s="507"/>
      <c r="E23" s="507"/>
      <c r="F23" s="507"/>
      <c r="G23" s="204">
        <f>'人工'!E7</f>
        <v>9.33</v>
      </c>
      <c r="H23" s="211"/>
      <c r="I23" s="522" t="s">
        <v>538</v>
      </c>
      <c r="J23" s="522"/>
      <c r="K23" s="522"/>
      <c r="L23" s="204" t="e">
        <f>'台时-1'!L28</f>
        <v>#REF!</v>
      </c>
      <c r="M23" s="212"/>
      <c r="N23" s="212"/>
      <c r="O23" s="212"/>
      <c r="P23" s="212"/>
      <c r="Q23" s="212"/>
      <c r="R23" s="212"/>
    </row>
    <row r="24" spans="2:18" ht="20.25" customHeight="1">
      <c r="B24" s="212"/>
      <c r="C24" s="507" t="s">
        <v>539</v>
      </c>
      <c r="D24" s="507"/>
      <c r="E24" s="507"/>
      <c r="F24" s="507"/>
      <c r="G24" s="195">
        <f>3075/1000</f>
        <v>3.075</v>
      </c>
      <c r="H24" s="212"/>
      <c r="I24" s="507" t="s">
        <v>540</v>
      </c>
      <c r="J24" s="507"/>
      <c r="K24" s="507"/>
      <c r="L24" s="204" t="e">
        <f>'台时-1'!L29</f>
        <v>#REF!</v>
      </c>
      <c r="M24" s="212"/>
      <c r="N24" s="212"/>
      <c r="O24" s="212"/>
      <c r="P24" s="212"/>
      <c r="Q24" s="212"/>
      <c r="R24" s="212"/>
    </row>
    <row r="25" spans="2:18" ht="20.25" customHeight="1">
      <c r="B25" s="212"/>
      <c r="C25" s="507" t="s">
        <v>541</v>
      </c>
      <c r="D25" s="507"/>
      <c r="E25" s="507"/>
      <c r="F25" s="507"/>
      <c r="G25" s="195">
        <f>2990/1000</f>
        <v>2.99</v>
      </c>
      <c r="H25" s="212"/>
      <c r="I25" s="507" t="s">
        <v>542</v>
      </c>
      <c r="J25" s="507"/>
      <c r="K25" s="507"/>
      <c r="L25" s="204" t="e">
        <f>'台时-1'!L30</f>
        <v>#REF!</v>
      </c>
      <c r="M25" s="212"/>
      <c r="N25" s="212"/>
      <c r="O25" s="212"/>
      <c r="P25" s="212"/>
      <c r="Q25" s="212"/>
      <c r="R25" s="212"/>
    </row>
    <row r="29" ht="28.5" customHeight="1"/>
  </sheetData>
  <sheetProtection/>
  <mergeCells count="20">
    <mergeCell ref="R2:R4"/>
    <mergeCell ref="C24:F24"/>
    <mergeCell ref="I24:K24"/>
    <mergeCell ref="N3:O3"/>
    <mergeCell ref="P3:Q3"/>
    <mergeCell ref="C25:F25"/>
    <mergeCell ref="I25:K25"/>
    <mergeCell ref="C23:F23"/>
    <mergeCell ref="I23:K23"/>
    <mergeCell ref="E2:E4"/>
    <mergeCell ref="A1:R1"/>
    <mergeCell ref="F2:Q2"/>
    <mergeCell ref="F3:G3"/>
    <mergeCell ref="H3:I3"/>
    <mergeCell ref="J3:K3"/>
    <mergeCell ref="L3:M3"/>
    <mergeCell ref="C2:C4"/>
    <mergeCell ref="D2:D4"/>
    <mergeCell ref="A2:A4"/>
    <mergeCell ref="B2:B4"/>
  </mergeCells>
  <printOptions horizontalCentered="1" verticalCentered="1"/>
  <pageMargins left="0.35433070866141736" right="0.35433070866141736" top="0.7874015748031497" bottom="0.5905511811023623" header="0.5118110236220472" footer="0.5118110236220472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45" zoomScaleNormal="145" workbookViewId="0" topLeftCell="A1">
      <selection activeCell="E19" sqref="E19"/>
    </sheetView>
  </sheetViews>
  <sheetFormatPr defaultColWidth="8.625" defaultRowHeight="14.25"/>
  <cols>
    <col min="1" max="1" width="6.50390625" style="27" customWidth="1"/>
    <col min="2" max="2" width="26.375" style="27" customWidth="1"/>
    <col min="3" max="3" width="10.25390625" style="27" customWidth="1"/>
    <col min="4" max="4" width="10.125" style="27" customWidth="1"/>
    <col min="5" max="5" width="14.25390625" style="27" customWidth="1"/>
    <col min="6" max="6" width="12.50390625" style="27" customWidth="1"/>
    <col min="7" max="7" width="9.00390625" style="27" bestFit="1" customWidth="1"/>
    <col min="8" max="9" width="8.625" style="27" hidden="1" customWidth="1"/>
    <col min="10" max="10" width="11.625" style="27" bestFit="1" customWidth="1"/>
    <col min="11" max="32" width="9.00390625" style="27" bestFit="1" customWidth="1"/>
    <col min="33" max="16384" width="8.625" style="27" customWidth="1"/>
  </cols>
  <sheetData>
    <row r="1" spans="1:6" ht="20.25">
      <c r="A1" s="444" t="s">
        <v>140</v>
      </c>
      <c r="B1" s="444"/>
      <c r="C1" s="444"/>
      <c r="D1" s="444"/>
      <c r="E1" s="444"/>
      <c r="F1" s="444"/>
    </row>
    <row r="2" spans="1:4" ht="14.25">
      <c r="A2" s="445"/>
      <c r="B2" s="445"/>
      <c r="C2" s="445"/>
      <c r="D2" s="445"/>
    </row>
    <row r="3" spans="1:6" ht="26.25" customHeight="1">
      <c r="A3" s="335" t="s">
        <v>2</v>
      </c>
      <c r="B3" s="344" t="s">
        <v>141</v>
      </c>
      <c r="C3" s="335" t="s">
        <v>43</v>
      </c>
      <c r="D3" s="335" t="s">
        <v>44</v>
      </c>
      <c r="E3" s="335" t="s">
        <v>45</v>
      </c>
      <c r="F3" s="335" t="s">
        <v>106</v>
      </c>
    </row>
    <row r="4" spans="1:6" ht="21" customHeight="1">
      <c r="A4" s="335"/>
      <c r="B4" s="321" t="s">
        <v>142</v>
      </c>
      <c r="C4" s="335"/>
      <c r="D4" s="335"/>
      <c r="E4" s="335"/>
      <c r="F4" s="345"/>
    </row>
    <row r="5" spans="1:9" ht="21" customHeight="1" hidden="1">
      <c r="A5" s="321" t="s">
        <v>11</v>
      </c>
      <c r="B5" s="321" t="s">
        <v>18</v>
      </c>
      <c r="C5" s="328"/>
      <c r="D5" s="328"/>
      <c r="E5" s="328"/>
      <c r="F5" s="346"/>
      <c r="H5" s="27">
        <v>1.76</v>
      </c>
      <c r="I5" s="27">
        <f>2.6-H6+0.6</f>
        <v>2.64</v>
      </c>
    </row>
    <row r="6" spans="1:8" ht="21" customHeight="1" hidden="1">
      <c r="A6" s="321" t="s">
        <v>49</v>
      </c>
      <c r="B6" s="321" t="s">
        <v>143</v>
      </c>
      <c r="C6" s="328"/>
      <c r="D6" s="328"/>
      <c r="E6" s="328"/>
      <c r="F6" s="346"/>
      <c r="H6" s="27">
        <v>0.56</v>
      </c>
    </row>
    <row r="7" spans="1:8" ht="21" customHeight="1" hidden="1">
      <c r="A7" s="328"/>
      <c r="B7" s="321" t="s">
        <v>144</v>
      </c>
      <c r="C7" s="328" t="s">
        <v>145</v>
      </c>
      <c r="D7" s="347"/>
      <c r="E7" s="346"/>
      <c r="F7" s="346"/>
      <c r="H7" s="27">
        <f>SUM(H5:H6)</f>
        <v>2.3200000000000003</v>
      </c>
    </row>
    <row r="8" spans="1:6" ht="21" customHeight="1" hidden="1">
      <c r="A8" s="328"/>
      <c r="B8" s="321" t="s">
        <v>146</v>
      </c>
      <c r="C8" s="328" t="s">
        <v>145</v>
      </c>
      <c r="D8" s="347"/>
      <c r="E8" s="346"/>
      <c r="F8" s="346"/>
    </row>
    <row r="9" spans="1:6" ht="21" customHeight="1" hidden="1">
      <c r="A9" s="321" t="s">
        <v>147</v>
      </c>
      <c r="B9" s="321" t="s">
        <v>148</v>
      </c>
      <c r="C9" s="328"/>
      <c r="D9" s="347"/>
      <c r="E9" s="347"/>
      <c r="F9" s="346"/>
    </row>
    <row r="10" spans="1:6" ht="21" customHeight="1" hidden="1">
      <c r="A10" s="328"/>
      <c r="B10" s="321" t="s">
        <v>149</v>
      </c>
      <c r="C10" s="328" t="s">
        <v>145</v>
      </c>
      <c r="D10" s="347"/>
      <c r="E10" s="346"/>
      <c r="F10" s="346"/>
    </row>
    <row r="11" spans="1:6" ht="21" customHeight="1" hidden="1">
      <c r="A11" s="328"/>
      <c r="B11" s="321" t="s">
        <v>150</v>
      </c>
      <c r="C11" s="328" t="s">
        <v>145</v>
      </c>
      <c r="D11" s="347"/>
      <c r="E11" s="346"/>
      <c r="F11" s="346"/>
    </row>
    <row r="12" spans="1:6" ht="21" customHeight="1">
      <c r="A12" s="321" t="s">
        <v>21</v>
      </c>
      <c r="B12" s="321" t="s">
        <v>151</v>
      </c>
      <c r="C12" s="321" t="s">
        <v>152</v>
      </c>
      <c r="D12" s="348">
        <v>1</v>
      </c>
      <c r="E12" s="346"/>
      <c r="F12" s="346"/>
    </row>
  </sheetData>
  <sheetProtection/>
  <mergeCells count="2">
    <mergeCell ref="A1:F1"/>
    <mergeCell ref="A2:D2"/>
  </mergeCells>
  <printOptions horizontalCentered="1"/>
  <pageMargins left="0.5511811023622047" right="0.5511811023622047" top="0.9842519685039371" bottom="0.9842519685039371" header="0.5118110236220472" footer="0.5118110236220472"/>
  <pageSetup horizontalDpi="200" verticalDpi="200" orientation="portrait" paperSize="9"/>
  <headerFooter alignWithMargins="0">
    <oddFooter>&amp;C-&amp;P&amp;--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J12" sqref="J12:K12"/>
    </sheetView>
  </sheetViews>
  <sheetFormatPr defaultColWidth="8.625" defaultRowHeight="14.25"/>
  <cols>
    <col min="1" max="1" width="4.875" style="0" customWidth="1"/>
    <col min="2" max="2" width="20.25390625" style="0" customWidth="1"/>
    <col min="3" max="3" width="8.25390625" style="0" customWidth="1"/>
    <col min="4" max="4" width="6.875" style="0" customWidth="1"/>
    <col min="5" max="5" width="7.375" style="0" customWidth="1"/>
    <col min="6" max="6" width="8.625" style="0" customWidth="1"/>
    <col min="7" max="7" width="6.625" style="0" customWidth="1"/>
    <col min="8" max="8" width="5.875" style="0" customWidth="1"/>
    <col min="9" max="9" width="6.00390625" style="0" customWidth="1"/>
    <col min="10" max="14" width="6.625" style="0" customWidth="1"/>
    <col min="15" max="15" width="5.625" style="0" customWidth="1"/>
    <col min="16" max="16" width="5.75390625" style="0" customWidth="1"/>
    <col min="17" max="17" width="6.125" style="0" customWidth="1"/>
    <col min="18" max="18" width="5.625" style="0" customWidth="1"/>
    <col min="19" max="37" width="8.75390625" style="0" customWidth="1"/>
  </cols>
  <sheetData>
    <row r="1" spans="1:18" ht="20.25">
      <c r="A1" s="428" t="s">
        <v>504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9.5" customHeight="1">
      <c r="A2" s="512" t="s">
        <v>505</v>
      </c>
      <c r="B2" s="514" t="s">
        <v>184</v>
      </c>
      <c r="C2" s="516" t="s">
        <v>561</v>
      </c>
      <c r="D2" s="516" t="s">
        <v>507</v>
      </c>
      <c r="E2" s="516" t="s">
        <v>508</v>
      </c>
      <c r="F2" s="516" t="s">
        <v>509</v>
      </c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0" t="s">
        <v>562</v>
      </c>
    </row>
    <row r="3" spans="1:18" ht="19.5" customHeight="1">
      <c r="A3" s="513"/>
      <c r="B3" s="515"/>
      <c r="C3" s="517"/>
      <c r="D3" s="517"/>
      <c r="E3" s="517"/>
      <c r="F3" s="517" t="s">
        <v>511</v>
      </c>
      <c r="G3" s="517"/>
      <c r="H3" s="517" t="s">
        <v>204</v>
      </c>
      <c r="I3" s="517"/>
      <c r="J3" s="517" t="s">
        <v>203</v>
      </c>
      <c r="K3" s="517"/>
      <c r="L3" s="517" t="s">
        <v>512</v>
      </c>
      <c r="M3" s="517"/>
      <c r="N3" s="517" t="s">
        <v>513</v>
      </c>
      <c r="O3" s="517"/>
      <c r="P3" s="517" t="s">
        <v>278</v>
      </c>
      <c r="Q3" s="517"/>
      <c r="R3" s="511"/>
    </row>
    <row r="4" spans="1:18" ht="27" customHeight="1">
      <c r="A4" s="513"/>
      <c r="B4" s="515"/>
      <c r="C4" s="517"/>
      <c r="D4" s="517"/>
      <c r="E4" s="517"/>
      <c r="F4" s="185" t="s">
        <v>544</v>
      </c>
      <c r="G4" s="185" t="s">
        <v>515</v>
      </c>
      <c r="H4" s="185" t="s">
        <v>516</v>
      </c>
      <c r="I4" s="185" t="s">
        <v>515</v>
      </c>
      <c r="J4" s="185" t="s">
        <v>516</v>
      </c>
      <c r="K4" s="185" t="s">
        <v>515</v>
      </c>
      <c r="L4" s="185" t="s">
        <v>517</v>
      </c>
      <c r="M4" s="185" t="s">
        <v>515</v>
      </c>
      <c r="N4" s="185" t="s">
        <v>518</v>
      </c>
      <c r="O4" s="185" t="s">
        <v>515</v>
      </c>
      <c r="P4" s="185" t="s">
        <v>518</v>
      </c>
      <c r="Q4" s="185" t="s">
        <v>515</v>
      </c>
      <c r="R4" s="511"/>
    </row>
    <row r="5" spans="1:18" ht="19.5" customHeight="1">
      <c r="A5" s="186">
        <v>4025</v>
      </c>
      <c r="B5" s="201" t="s">
        <v>563</v>
      </c>
      <c r="C5" s="187" t="e">
        <f>D5+E5</f>
        <v>#REF!</v>
      </c>
      <c r="D5" s="187">
        <f>102.67/1.13+33.87/1.09</f>
        <v>121.93180157505887</v>
      </c>
      <c r="E5" s="187" t="e">
        <f>G5++I5+K5+M5+O5+O5+Q5</f>
        <v>#REF!</v>
      </c>
      <c r="F5" s="187">
        <v>3.9</v>
      </c>
      <c r="G5" s="187">
        <f aca="true" t="shared" si="0" ref="G5:G16">F5*$G$25</f>
        <v>36.387</v>
      </c>
      <c r="H5" s="187"/>
      <c r="I5" s="187"/>
      <c r="J5" s="187"/>
      <c r="K5" s="187"/>
      <c r="L5" s="187">
        <v>90.8</v>
      </c>
      <c r="M5" s="187" t="e">
        <f>L5*$L$25</f>
        <v>#REF!</v>
      </c>
      <c r="N5" s="187"/>
      <c r="O5" s="187"/>
      <c r="P5" s="187"/>
      <c r="Q5" s="187"/>
      <c r="R5" s="198"/>
    </row>
    <row r="6" spans="1:18" ht="19.5" customHeight="1">
      <c r="A6" s="186">
        <v>4026</v>
      </c>
      <c r="B6" s="201" t="s">
        <v>564</v>
      </c>
      <c r="C6" s="187" t="e">
        <f aca="true" t="shared" si="1" ref="C6:C24">D6+E6</f>
        <v>#REF!</v>
      </c>
      <c r="D6" s="187">
        <f>224.94/1.13+59.35/1.09</f>
        <v>253.51148818705855</v>
      </c>
      <c r="E6" s="187" t="e">
        <f aca="true" t="shared" si="2" ref="E6:E24">G6++I6+K6+M6+O6+O6+Q6</f>
        <v>#REF!</v>
      </c>
      <c r="F6" s="187">
        <v>3.9</v>
      </c>
      <c r="G6" s="187">
        <f t="shared" si="0"/>
        <v>36.387</v>
      </c>
      <c r="H6" s="187"/>
      <c r="I6" s="187"/>
      <c r="J6" s="187"/>
      <c r="K6" s="187"/>
      <c r="L6" s="187">
        <v>160.2</v>
      </c>
      <c r="M6" s="187" t="e">
        <f>L6*$L$25</f>
        <v>#REF!</v>
      </c>
      <c r="N6" s="187"/>
      <c r="O6" s="187"/>
      <c r="P6" s="187"/>
      <c r="Q6" s="187"/>
      <c r="R6" s="198"/>
    </row>
    <row r="7" spans="1:18" ht="19.5" customHeight="1">
      <c r="A7" s="188">
        <v>4030</v>
      </c>
      <c r="B7" s="184" t="s">
        <v>337</v>
      </c>
      <c r="C7" s="187" t="e">
        <f t="shared" si="1"/>
        <v>#REF!</v>
      </c>
      <c r="D7" s="187">
        <f>41.37/1.13+16.89/1.09+3.1</f>
        <v>55.206032313063254</v>
      </c>
      <c r="E7" s="187" t="e">
        <f t="shared" si="2"/>
        <v>#REF!</v>
      </c>
      <c r="F7" s="187">
        <v>2.7</v>
      </c>
      <c r="G7" s="187">
        <f t="shared" si="0"/>
        <v>25.191000000000003</v>
      </c>
      <c r="H7" s="187"/>
      <c r="I7" s="187"/>
      <c r="J7" s="187"/>
      <c r="K7" s="187"/>
      <c r="L7" s="187">
        <v>36.7</v>
      </c>
      <c r="M7" s="187" t="e">
        <f>L7*$L$25</f>
        <v>#REF!</v>
      </c>
      <c r="N7" s="187"/>
      <c r="O7" s="187"/>
      <c r="P7" s="187"/>
      <c r="Q7" s="187"/>
      <c r="R7" s="198"/>
    </row>
    <row r="8" spans="1:18" ht="19.5" customHeight="1">
      <c r="A8" s="188">
        <v>4072</v>
      </c>
      <c r="B8" s="184" t="s">
        <v>565</v>
      </c>
      <c r="C8" s="187">
        <f t="shared" si="1"/>
        <v>68.84029974831535</v>
      </c>
      <c r="D8" s="187">
        <f>16.23/1.13+9.55/1.09+0.6</f>
        <v>23.72429974831534</v>
      </c>
      <c r="E8" s="187">
        <f t="shared" si="2"/>
        <v>45.116</v>
      </c>
      <c r="F8" s="187">
        <v>2.4</v>
      </c>
      <c r="G8" s="187">
        <f t="shared" si="0"/>
        <v>22.392</v>
      </c>
      <c r="H8" s="187"/>
      <c r="I8" s="187"/>
      <c r="J8" s="187">
        <v>7.6</v>
      </c>
      <c r="K8" s="187">
        <f aca="true" t="shared" si="3" ref="K8:K16">J8*$G$27</f>
        <v>22.724</v>
      </c>
      <c r="L8" s="187"/>
      <c r="M8" s="187"/>
      <c r="N8" s="187"/>
      <c r="O8" s="187"/>
      <c r="P8" s="187"/>
      <c r="Q8" s="187"/>
      <c r="R8" s="198"/>
    </row>
    <row r="9" spans="1:18" ht="19.5" customHeight="1">
      <c r="A9" s="188">
        <v>4074</v>
      </c>
      <c r="B9" s="184" t="s">
        <v>566</v>
      </c>
      <c r="C9" s="187">
        <f t="shared" si="1"/>
        <v>93.66853235365755</v>
      </c>
      <c r="D9" s="187">
        <f>31.79/1.13+18.69/1.09+1.18</f>
        <v>46.45953235365754</v>
      </c>
      <c r="E9" s="187">
        <f t="shared" si="2"/>
        <v>47.209</v>
      </c>
      <c r="F9" s="187">
        <v>2.4</v>
      </c>
      <c r="G9" s="187">
        <f t="shared" si="0"/>
        <v>22.392</v>
      </c>
      <c r="H9" s="187"/>
      <c r="I9" s="187"/>
      <c r="J9" s="187">
        <v>8.3</v>
      </c>
      <c r="K9" s="187">
        <f t="shared" si="3"/>
        <v>24.817000000000004</v>
      </c>
      <c r="L9" s="187"/>
      <c r="M9" s="187"/>
      <c r="N9" s="187"/>
      <c r="O9" s="187"/>
      <c r="P9" s="187"/>
      <c r="Q9" s="187"/>
      <c r="R9" s="198"/>
    </row>
    <row r="10" spans="1:18" ht="19.5" customHeight="1">
      <c r="A10" s="188">
        <v>4075</v>
      </c>
      <c r="B10" s="184" t="s">
        <v>567</v>
      </c>
      <c r="C10" s="187">
        <f t="shared" si="1"/>
        <v>113.35466517820898</v>
      </c>
      <c r="D10" s="187">
        <f>37.88/1.13+22.29/1.09+1.41</f>
        <v>55.381665178208976</v>
      </c>
      <c r="E10" s="187">
        <f t="shared" si="2"/>
        <v>57.973</v>
      </c>
      <c r="F10" s="187">
        <v>2.4</v>
      </c>
      <c r="G10" s="187">
        <f t="shared" si="0"/>
        <v>22.392</v>
      </c>
      <c r="H10" s="187"/>
      <c r="I10" s="187"/>
      <c r="J10" s="187">
        <v>11.9</v>
      </c>
      <c r="K10" s="187">
        <f t="shared" si="3"/>
        <v>35.581</v>
      </c>
      <c r="L10" s="187"/>
      <c r="M10" s="187"/>
      <c r="N10" s="187"/>
      <c r="O10" s="187"/>
      <c r="P10" s="187"/>
      <c r="Q10" s="187"/>
      <c r="R10" s="198"/>
    </row>
    <row r="11" spans="1:18" ht="19.5" customHeight="1">
      <c r="A11" s="188">
        <v>4076</v>
      </c>
      <c r="B11" s="184" t="s">
        <v>568</v>
      </c>
      <c r="C11" s="187">
        <f t="shared" si="1"/>
        <v>122.57434245351953</v>
      </c>
      <c r="D11" s="187">
        <f>45.92/1.13+22.9/1.09+1.46</f>
        <v>63.106342453519524</v>
      </c>
      <c r="E11" s="187">
        <f t="shared" si="2"/>
        <v>59.468</v>
      </c>
      <c r="F11" s="187">
        <v>2.4</v>
      </c>
      <c r="G11" s="187">
        <f t="shared" si="0"/>
        <v>22.392</v>
      </c>
      <c r="H11" s="187"/>
      <c r="I11" s="187"/>
      <c r="J11" s="187">
        <v>12.4</v>
      </c>
      <c r="K11" s="187">
        <f t="shared" si="3"/>
        <v>37.076</v>
      </c>
      <c r="L11" s="187"/>
      <c r="M11" s="187"/>
      <c r="N11" s="187"/>
      <c r="O11" s="187"/>
      <c r="P11" s="187"/>
      <c r="Q11" s="187"/>
      <c r="R11" s="198"/>
    </row>
    <row r="12" spans="1:18" ht="19.5" customHeight="1">
      <c r="A12" s="188">
        <v>4085</v>
      </c>
      <c r="B12" s="184" t="s">
        <v>569</v>
      </c>
      <c r="C12" s="187">
        <f t="shared" si="1"/>
        <v>65.8541237314281</v>
      </c>
      <c r="D12" s="187">
        <f>12.92/1.13+12.42/1.09</f>
        <v>22.828123731428107</v>
      </c>
      <c r="E12" s="187">
        <f>G12+I12+K12+M12+O12+O12+Q12</f>
        <v>43.026</v>
      </c>
      <c r="F12" s="187">
        <v>2.7</v>
      </c>
      <c r="G12" s="187">
        <f t="shared" si="0"/>
        <v>25.191000000000003</v>
      </c>
      <c r="H12" s="187">
        <v>5.8</v>
      </c>
      <c r="I12" s="187">
        <f>H12*$G$26</f>
        <v>17.835</v>
      </c>
      <c r="J12" s="187"/>
      <c r="K12" s="187"/>
      <c r="L12" s="187"/>
      <c r="M12" s="187"/>
      <c r="N12" s="187"/>
      <c r="O12" s="187"/>
      <c r="P12" s="187"/>
      <c r="Q12" s="187"/>
      <c r="R12" s="198"/>
    </row>
    <row r="13" spans="1:18" ht="19.5" customHeight="1">
      <c r="A13" s="188">
        <v>4088</v>
      </c>
      <c r="B13" s="184" t="s">
        <v>570</v>
      </c>
      <c r="C13" s="187">
        <f t="shared" si="1"/>
        <v>86.11886457741333</v>
      </c>
      <c r="D13" s="187">
        <f>25.08/1.13+17.45/1.09</f>
        <v>38.20386457741333</v>
      </c>
      <c r="E13" s="187">
        <f t="shared" si="2"/>
        <v>47.915000000000006</v>
      </c>
      <c r="F13" s="187">
        <v>2.7</v>
      </c>
      <c r="G13" s="187">
        <f t="shared" si="0"/>
        <v>25.191000000000003</v>
      </c>
      <c r="H13" s="187"/>
      <c r="I13" s="187"/>
      <c r="J13" s="187">
        <v>7.6</v>
      </c>
      <c r="K13" s="187">
        <f t="shared" si="3"/>
        <v>22.724</v>
      </c>
      <c r="L13" s="187"/>
      <c r="M13" s="187"/>
      <c r="N13" s="187"/>
      <c r="O13" s="187"/>
      <c r="P13" s="187"/>
      <c r="Q13" s="187"/>
      <c r="R13" s="198"/>
    </row>
    <row r="14" spans="1:18" ht="19.5" customHeight="1">
      <c r="A14" s="188">
        <v>4091</v>
      </c>
      <c r="B14" s="184" t="s">
        <v>571</v>
      </c>
      <c r="C14" s="187">
        <f t="shared" si="1"/>
        <v>127.25731712267597</v>
      </c>
      <c r="D14" s="187">
        <f>46.14/1.13+28.94/1.09</f>
        <v>67.38231712267597</v>
      </c>
      <c r="E14" s="187">
        <f t="shared" si="2"/>
        <v>59.87500000000001</v>
      </c>
      <c r="F14" s="187">
        <v>2.7</v>
      </c>
      <c r="G14" s="187">
        <f t="shared" si="0"/>
        <v>25.191000000000003</v>
      </c>
      <c r="H14" s="187"/>
      <c r="I14" s="187"/>
      <c r="J14" s="187">
        <v>11.6</v>
      </c>
      <c r="K14" s="187">
        <f t="shared" si="3"/>
        <v>34.684000000000005</v>
      </c>
      <c r="L14" s="187"/>
      <c r="M14" s="187"/>
      <c r="N14" s="187"/>
      <c r="O14" s="187"/>
      <c r="P14" s="187"/>
      <c r="Q14" s="187"/>
      <c r="R14" s="198"/>
    </row>
    <row r="15" spans="1:18" ht="19.5" customHeight="1">
      <c r="A15" s="188">
        <v>4092</v>
      </c>
      <c r="B15" s="184" t="s">
        <v>572</v>
      </c>
      <c r="C15" s="187">
        <f t="shared" si="1"/>
        <v>165.30174872127955</v>
      </c>
      <c r="D15" s="187">
        <f>74.64/1.13+40.31/1.09</f>
        <v>103.03474872127954</v>
      </c>
      <c r="E15" s="187">
        <f t="shared" si="2"/>
        <v>62.267</v>
      </c>
      <c r="F15" s="187">
        <v>2.7</v>
      </c>
      <c r="G15" s="187">
        <f t="shared" si="0"/>
        <v>25.191000000000003</v>
      </c>
      <c r="H15" s="187"/>
      <c r="I15" s="187"/>
      <c r="J15" s="187">
        <v>12.4</v>
      </c>
      <c r="K15" s="187">
        <f t="shared" si="3"/>
        <v>37.076</v>
      </c>
      <c r="L15" s="187"/>
      <c r="M15" s="187"/>
      <c r="N15" s="187"/>
      <c r="O15" s="187"/>
      <c r="P15" s="187"/>
      <c r="Q15" s="187"/>
      <c r="R15" s="198"/>
    </row>
    <row r="16" spans="1:18" ht="19.5" customHeight="1">
      <c r="A16" s="188">
        <v>4094</v>
      </c>
      <c r="B16" s="184" t="s">
        <v>573</v>
      </c>
      <c r="C16" s="187">
        <f t="shared" si="1"/>
        <v>305.21286628237397</v>
      </c>
      <c r="D16" s="187">
        <f>166.25/1.13+89.78/1.09</f>
        <v>229.49086628237393</v>
      </c>
      <c r="E16" s="187">
        <f t="shared" si="2"/>
        <v>75.72200000000001</v>
      </c>
      <c r="F16" s="187">
        <v>2.7</v>
      </c>
      <c r="G16" s="187">
        <f t="shared" si="0"/>
        <v>25.191000000000003</v>
      </c>
      <c r="H16" s="187"/>
      <c r="I16" s="187"/>
      <c r="J16" s="187">
        <v>16.9</v>
      </c>
      <c r="K16" s="187">
        <f t="shared" si="3"/>
        <v>50.531</v>
      </c>
      <c r="L16" s="187"/>
      <c r="M16" s="187"/>
      <c r="N16" s="187"/>
      <c r="O16" s="187"/>
      <c r="P16" s="187"/>
      <c r="Q16" s="187"/>
      <c r="R16" s="198"/>
    </row>
    <row r="17" spans="1:18" ht="19.5" customHeight="1">
      <c r="A17" s="188">
        <v>4128</v>
      </c>
      <c r="B17" s="184" t="s">
        <v>574</v>
      </c>
      <c r="C17" s="187" t="e">
        <f t="shared" si="1"/>
        <v>#REF!</v>
      </c>
      <c r="D17" s="187">
        <f>1.24/1.13+0.76/1.09</f>
        <v>1.7945928391653814</v>
      </c>
      <c r="E17" s="187" t="e">
        <f t="shared" si="2"/>
        <v>#REF!</v>
      </c>
      <c r="F17" s="187"/>
      <c r="G17" s="187"/>
      <c r="H17" s="187"/>
      <c r="I17" s="187"/>
      <c r="J17" s="187"/>
      <c r="K17" s="187"/>
      <c r="L17" s="187">
        <v>4</v>
      </c>
      <c r="M17" s="187" t="e">
        <f aca="true" t="shared" si="4" ref="M17:M24">L17*$L$25</f>
        <v>#REF!</v>
      </c>
      <c r="N17" s="187"/>
      <c r="O17" s="187"/>
      <c r="P17" s="187"/>
      <c r="Q17" s="187"/>
      <c r="R17" s="198"/>
    </row>
    <row r="18" spans="1:18" ht="19.5" customHeight="1">
      <c r="A18" s="188">
        <v>4142</v>
      </c>
      <c r="B18" s="184" t="s">
        <v>575</v>
      </c>
      <c r="C18" s="187" t="e">
        <f t="shared" si="1"/>
        <v>#REF!</v>
      </c>
      <c r="D18" s="187">
        <f>1.75/1.13+0.68/1.09+0.03</f>
        <v>2.2025257773808558</v>
      </c>
      <c r="E18" s="187" t="e">
        <f t="shared" si="2"/>
        <v>#REF!</v>
      </c>
      <c r="F18" s="187">
        <v>1</v>
      </c>
      <c r="G18" s="187">
        <f aca="true" t="shared" si="5" ref="G18:G24">F18*$G$25</f>
        <v>9.33</v>
      </c>
      <c r="H18" s="187"/>
      <c r="I18" s="187"/>
      <c r="J18" s="187"/>
      <c r="K18" s="187"/>
      <c r="L18" s="187">
        <v>5.4</v>
      </c>
      <c r="M18" s="187" t="e">
        <f t="shared" si="4"/>
        <v>#REF!</v>
      </c>
      <c r="N18" s="187"/>
      <c r="O18" s="187"/>
      <c r="P18" s="187"/>
      <c r="Q18" s="187"/>
      <c r="R18" s="198"/>
    </row>
    <row r="19" spans="1:18" ht="19.5" customHeight="1">
      <c r="A19" s="188">
        <v>4143</v>
      </c>
      <c r="B19" s="184" t="s">
        <v>576</v>
      </c>
      <c r="C19" s="187" t="e">
        <f t="shared" si="1"/>
        <v>#REF!</v>
      </c>
      <c r="D19" s="187">
        <f>2.97/1.13+1.16/1.09+0.05</f>
        <v>3.742538767557035</v>
      </c>
      <c r="E19" s="187" t="e">
        <f t="shared" si="2"/>
        <v>#REF!</v>
      </c>
      <c r="F19" s="187">
        <v>1.3</v>
      </c>
      <c r="G19" s="187">
        <f t="shared" si="5"/>
        <v>12.129000000000001</v>
      </c>
      <c r="H19" s="187"/>
      <c r="I19" s="187"/>
      <c r="J19" s="187"/>
      <c r="K19" s="187"/>
      <c r="L19" s="187">
        <v>7.9</v>
      </c>
      <c r="M19" s="187" t="e">
        <f t="shared" si="4"/>
        <v>#REF!</v>
      </c>
      <c r="N19" s="187"/>
      <c r="O19" s="187"/>
      <c r="P19" s="187"/>
      <c r="Q19" s="187"/>
      <c r="R19" s="198"/>
    </row>
    <row r="20" spans="1:18" ht="19.5" customHeight="1">
      <c r="A20" s="188">
        <v>6005</v>
      </c>
      <c r="B20" s="189" t="s">
        <v>577</v>
      </c>
      <c r="C20" s="187" t="e">
        <f t="shared" si="1"/>
        <v>#REF!</v>
      </c>
      <c r="D20" s="187">
        <f>16.5/1.13+23.42/1.09+6.19</f>
        <v>42.27800844361452</v>
      </c>
      <c r="E20" s="187" t="e">
        <f t="shared" si="2"/>
        <v>#REF!</v>
      </c>
      <c r="F20" s="187">
        <v>2.9</v>
      </c>
      <c r="G20" s="187">
        <f t="shared" si="5"/>
        <v>27.057</v>
      </c>
      <c r="H20" s="187"/>
      <c r="I20" s="187"/>
      <c r="J20" s="187"/>
      <c r="K20" s="187"/>
      <c r="L20" s="187">
        <v>19.6</v>
      </c>
      <c r="M20" s="187" t="e">
        <f t="shared" si="4"/>
        <v>#REF!</v>
      </c>
      <c r="N20" s="187"/>
      <c r="O20" s="187"/>
      <c r="P20" s="187"/>
      <c r="Q20" s="187"/>
      <c r="R20" s="198"/>
    </row>
    <row r="21" spans="1:18" ht="19.5" customHeight="1">
      <c r="A21" s="188">
        <v>6010</v>
      </c>
      <c r="B21" s="189" t="s">
        <v>578</v>
      </c>
      <c r="C21" s="187" t="e">
        <f t="shared" si="1"/>
        <v>#REF!</v>
      </c>
      <c r="D21" s="187">
        <f>22.35/1.13+41.55/1.09+8.99</f>
        <v>66.88802711699276</v>
      </c>
      <c r="E21" s="187" t="e">
        <f t="shared" si="2"/>
        <v>#REF!</v>
      </c>
      <c r="F21" s="187">
        <v>2.9</v>
      </c>
      <c r="G21" s="187">
        <f t="shared" si="5"/>
        <v>27.057</v>
      </c>
      <c r="H21" s="187"/>
      <c r="I21" s="187"/>
      <c r="J21" s="187"/>
      <c r="K21" s="187"/>
      <c r="L21" s="187">
        <v>68.2</v>
      </c>
      <c r="M21" s="187" t="e">
        <f t="shared" si="4"/>
        <v>#REF!</v>
      </c>
      <c r="N21" s="187"/>
      <c r="O21" s="187"/>
      <c r="P21" s="187"/>
      <c r="Q21" s="187"/>
      <c r="R21" s="198"/>
    </row>
    <row r="22" spans="1:18" ht="19.5" customHeight="1">
      <c r="A22" s="188">
        <v>9021</v>
      </c>
      <c r="B22" s="184" t="s">
        <v>579</v>
      </c>
      <c r="C22" s="187" t="e">
        <f t="shared" si="1"/>
        <v>#REF!</v>
      </c>
      <c r="D22" s="187">
        <f>0.19/1.13+1.08/1.09+0.32</f>
        <v>1.4789672809937484</v>
      </c>
      <c r="E22" s="187" t="e">
        <f t="shared" si="2"/>
        <v>#REF!</v>
      </c>
      <c r="F22" s="187">
        <v>1.3</v>
      </c>
      <c r="G22" s="187">
        <f t="shared" si="5"/>
        <v>12.129000000000001</v>
      </c>
      <c r="H22" s="187"/>
      <c r="I22" s="187"/>
      <c r="J22" s="187"/>
      <c r="K22" s="187"/>
      <c r="L22" s="187">
        <v>9.1</v>
      </c>
      <c r="M22" s="187" t="e">
        <f t="shared" si="4"/>
        <v>#REF!</v>
      </c>
      <c r="N22" s="187"/>
      <c r="O22" s="187"/>
      <c r="P22" s="187"/>
      <c r="Q22" s="187"/>
      <c r="R22" s="198"/>
    </row>
    <row r="23" spans="1:18" ht="19.5" customHeight="1">
      <c r="A23" s="188">
        <v>9022</v>
      </c>
      <c r="B23" s="184" t="s">
        <v>237</v>
      </c>
      <c r="C23" s="187" t="e">
        <f t="shared" si="1"/>
        <v>#REF!</v>
      </c>
      <c r="D23" s="187">
        <f>0.31/1.13+1.76/1.09+0.51</f>
        <v>2.3990151822684096</v>
      </c>
      <c r="E23" s="187" t="e">
        <f t="shared" si="2"/>
        <v>#REF!</v>
      </c>
      <c r="F23" s="187">
        <v>1.3</v>
      </c>
      <c r="G23" s="187">
        <f t="shared" si="5"/>
        <v>12.129000000000001</v>
      </c>
      <c r="H23" s="187"/>
      <c r="I23" s="187"/>
      <c r="J23" s="187"/>
      <c r="K23" s="187"/>
      <c r="L23" s="187">
        <v>15.5</v>
      </c>
      <c r="M23" s="187" t="e">
        <f t="shared" si="4"/>
        <v>#REF!</v>
      </c>
      <c r="N23" s="187"/>
      <c r="O23" s="187"/>
      <c r="P23" s="187"/>
      <c r="Q23" s="187"/>
      <c r="R23" s="198"/>
    </row>
    <row r="24" spans="1:18" ht="19.5" customHeight="1">
      <c r="A24" s="190">
        <v>9027</v>
      </c>
      <c r="B24" s="191" t="s">
        <v>580</v>
      </c>
      <c r="C24" s="192" t="e">
        <f t="shared" si="1"/>
        <v>#REF!</v>
      </c>
      <c r="D24" s="192">
        <f>1.07/1.13+4.37/1.09+1.23</f>
        <v>6.186076966793863</v>
      </c>
      <c r="E24" s="192" t="e">
        <f t="shared" si="2"/>
        <v>#REF!</v>
      </c>
      <c r="F24" s="192">
        <v>1.3</v>
      </c>
      <c r="G24" s="192">
        <f t="shared" si="5"/>
        <v>12.129000000000001</v>
      </c>
      <c r="H24" s="192"/>
      <c r="I24" s="192"/>
      <c r="J24" s="192"/>
      <c r="K24" s="192"/>
      <c r="L24" s="192">
        <v>19.3</v>
      </c>
      <c r="M24" s="192" t="e">
        <f t="shared" si="4"/>
        <v>#REF!</v>
      </c>
      <c r="N24" s="192"/>
      <c r="O24" s="192"/>
      <c r="P24" s="192"/>
      <c r="Q24" s="192"/>
      <c r="R24" s="200"/>
    </row>
    <row r="25" spans="1:18" ht="20.25" customHeight="1">
      <c r="A25" s="193"/>
      <c r="B25" s="193"/>
      <c r="C25" s="193"/>
      <c r="D25" s="193"/>
      <c r="E25" s="523" t="s">
        <v>537</v>
      </c>
      <c r="F25" s="523"/>
      <c r="G25" s="195">
        <f>'人工'!E7</f>
        <v>9.33</v>
      </c>
      <c r="H25" s="202"/>
      <c r="I25" s="202"/>
      <c r="J25" s="523" t="s">
        <v>538</v>
      </c>
      <c r="K25" s="523"/>
      <c r="L25" s="204" t="e">
        <f>'台时-1'!L28</f>
        <v>#REF!</v>
      </c>
      <c r="M25" s="193"/>
      <c r="N25" s="193"/>
      <c r="O25" s="193"/>
      <c r="P25" s="193"/>
      <c r="Q25" s="193"/>
      <c r="R25" s="193"/>
    </row>
    <row r="26" spans="1:18" ht="20.25" customHeight="1">
      <c r="A26" s="193"/>
      <c r="B26" s="193"/>
      <c r="C26" s="193"/>
      <c r="D26" s="193"/>
      <c r="E26" s="523" t="s">
        <v>539</v>
      </c>
      <c r="F26" s="523"/>
      <c r="G26" s="195">
        <f>3075/1000</f>
        <v>3.075</v>
      </c>
      <c r="H26" s="203"/>
      <c r="I26" s="202"/>
      <c r="J26" s="523" t="s">
        <v>540</v>
      </c>
      <c r="K26" s="523"/>
      <c r="L26" s="204" t="e">
        <f>'台时-1'!L29</f>
        <v>#REF!</v>
      </c>
      <c r="M26" s="193"/>
      <c r="N26" s="193"/>
      <c r="O26" s="193"/>
      <c r="P26" s="193"/>
      <c r="Q26" s="193"/>
      <c r="R26" s="193"/>
    </row>
    <row r="27" spans="1:18" ht="20.25" customHeight="1">
      <c r="A27" s="193"/>
      <c r="B27" s="193"/>
      <c r="C27" s="193"/>
      <c r="D27" s="193"/>
      <c r="E27" s="523" t="s">
        <v>541</v>
      </c>
      <c r="F27" s="523"/>
      <c r="G27" s="195">
        <f>2990/1000</f>
        <v>2.99</v>
      </c>
      <c r="H27" s="202"/>
      <c r="I27" s="202"/>
      <c r="J27" s="523" t="s">
        <v>542</v>
      </c>
      <c r="K27" s="523"/>
      <c r="L27" s="204" t="e">
        <f>'台时-1'!L30</f>
        <v>#REF!</v>
      </c>
      <c r="M27" s="193"/>
      <c r="N27" s="193"/>
      <c r="O27" s="193"/>
      <c r="P27" s="193"/>
      <c r="Q27" s="193"/>
      <c r="R27" s="193"/>
    </row>
  </sheetData>
  <sheetProtection/>
  <mergeCells count="20">
    <mergeCell ref="R2:R4"/>
    <mergeCell ref="E26:F26"/>
    <mergeCell ref="J26:K26"/>
    <mergeCell ref="N3:O3"/>
    <mergeCell ref="P3:Q3"/>
    <mergeCell ref="E27:F27"/>
    <mergeCell ref="J27:K27"/>
    <mergeCell ref="E25:F25"/>
    <mergeCell ref="J25:K25"/>
    <mergeCell ref="E2:E4"/>
    <mergeCell ref="A1:R1"/>
    <mergeCell ref="F2:Q2"/>
    <mergeCell ref="F3:G3"/>
    <mergeCell ref="H3:I3"/>
    <mergeCell ref="J3:K3"/>
    <mergeCell ref="L3:M3"/>
    <mergeCell ref="C2:C4"/>
    <mergeCell ref="D2:D4"/>
    <mergeCell ref="A2:A4"/>
    <mergeCell ref="B2:B4"/>
  </mergeCells>
  <printOptions horizontalCentered="1" verticalCentered="1"/>
  <pageMargins left="0.35433070866141736" right="0.35433070866141736" top="0.7874015748031497" bottom="0.5905511811023623" header="0.5118110236220472" footer="0.5118110236220472"/>
  <pageSetup horizontalDpi="1200" verticalDpi="12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B15" sqref="B15"/>
    </sheetView>
  </sheetViews>
  <sheetFormatPr defaultColWidth="8.625" defaultRowHeight="14.25"/>
  <cols>
    <col min="1" max="1" width="4.875" style="0" customWidth="1"/>
    <col min="2" max="2" width="20.25390625" style="0" customWidth="1"/>
    <col min="3" max="3" width="8.50390625" style="0" customWidth="1"/>
    <col min="4" max="4" width="6.875" style="0" customWidth="1"/>
    <col min="5" max="5" width="7.375" style="0" customWidth="1"/>
    <col min="6" max="6" width="9.25390625" style="0" customWidth="1"/>
    <col min="7" max="8" width="6.625" style="0" customWidth="1"/>
    <col min="9" max="9" width="5.75390625" style="0" customWidth="1"/>
    <col min="10" max="16" width="6.625" style="0" customWidth="1"/>
    <col min="17" max="17" width="5.75390625" style="0" customWidth="1"/>
    <col min="18" max="18" width="5.875" style="0" customWidth="1"/>
    <col min="19" max="42" width="8.75390625" style="0" customWidth="1"/>
  </cols>
  <sheetData>
    <row r="1" spans="1:18" ht="20.25">
      <c r="A1" s="428" t="s">
        <v>504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9.5" customHeight="1">
      <c r="A2" s="512" t="s">
        <v>505</v>
      </c>
      <c r="B2" s="514" t="s">
        <v>184</v>
      </c>
      <c r="C2" s="516" t="s">
        <v>581</v>
      </c>
      <c r="D2" s="516" t="s">
        <v>507</v>
      </c>
      <c r="E2" s="516" t="s">
        <v>508</v>
      </c>
      <c r="F2" s="514" t="s">
        <v>509</v>
      </c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0" t="s">
        <v>582</v>
      </c>
    </row>
    <row r="3" spans="1:18" ht="19.5" customHeight="1">
      <c r="A3" s="513"/>
      <c r="B3" s="515"/>
      <c r="C3" s="517"/>
      <c r="D3" s="517"/>
      <c r="E3" s="517"/>
      <c r="F3" s="517" t="s">
        <v>511</v>
      </c>
      <c r="G3" s="517"/>
      <c r="H3" s="517" t="s">
        <v>204</v>
      </c>
      <c r="I3" s="517"/>
      <c r="J3" s="517" t="s">
        <v>203</v>
      </c>
      <c r="K3" s="517"/>
      <c r="L3" s="517" t="s">
        <v>512</v>
      </c>
      <c r="M3" s="517"/>
      <c r="N3" s="517" t="s">
        <v>513</v>
      </c>
      <c r="O3" s="517"/>
      <c r="P3" s="517" t="s">
        <v>278</v>
      </c>
      <c r="Q3" s="517"/>
      <c r="R3" s="511"/>
    </row>
    <row r="4" spans="1:18" ht="27" customHeight="1">
      <c r="A4" s="513"/>
      <c r="B4" s="515"/>
      <c r="C4" s="517"/>
      <c r="D4" s="517"/>
      <c r="E4" s="517"/>
      <c r="F4" s="185" t="s">
        <v>544</v>
      </c>
      <c r="G4" s="185" t="s">
        <v>515</v>
      </c>
      <c r="H4" s="185" t="s">
        <v>516</v>
      </c>
      <c r="I4" s="185" t="s">
        <v>515</v>
      </c>
      <c r="J4" s="185" t="s">
        <v>516</v>
      </c>
      <c r="K4" s="185" t="s">
        <v>515</v>
      </c>
      <c r="L4" s="185" t="s">
        <v>517</v>
      </c>
      <c r="M4" s="185" t="s">
        <v>515</v>
      </c>
      <c r="N4" s="185" t="s">
        <v>518</v>
      </c>
      <c r="O4" s="185" t="s">
        <v>515</v>
      </c>
      <c r="P4" s="185" t="s">
        <v>518</v>
      </c>
      <c r="Q4" s="185" t="s">
        <v>515</v>
      </c>
      <c r="R4" s="511"/>
    </row>
    <row r="5" spans="1:18" ht="19.5" customHeight="1">
      <c r="A5" s="186">
        <v>9028</v>
      </c>
      <c r="B5" s="184" t="s">
        <v>583</v>
      </c>
      <c r="C5" s="187" t="e">
        <f>D5+E5</f>
        <v>#REF!</v>
      </c>
      <c r="D5" s="187">
        <f>1.41/1.13+7.75/1.09+2.2</f>
        <v>10.557879353738734</v>
      </c>
      <c r="E5" s="187" t="e">
        <f>G5++I5+K5+M5+O5+O5+Q5</f>
        <v>#REF!</v>
      </c>
      <c r="F5" s="187">
        <v>1.3</v>
      </c>
      <c r="G5" s="187">
        <f>F5*$G$24</f>
        <v>12.129000000000001</v>
      </c>
      <c r="H5" s="187"/>
      <c r="I5" s="187"/>
      <c r="J5" s="187"/>
      <c r="K5" s="187"/>
      <c r="L5" s="187">
        <v>53.2</v>
      </c>
      <c r="M5" s="187" t="e">
        <f aca="true" t="shared" si="0" ref="M5:M21">L5*$L$24</f>
        <v>#REF!</v>
      </c>
      <c r="N5" s="187"/>
      <c r="O5" s="187"/>
      <c r="P5" s="187"/>
      <c r="Q5" s="187"/>
      <c r="R5" s="198"/>
    </row>
    <row r="6" spans="1:18" ht="19.5" customHeight="1">
      <c r="A6" s="186">
        <v>6023</v>
      </c>
      <c r="B6" s="184" t="s">
        <v>584</v>
      </c>
      <c r="C6" s="187" t="e">
        <f aca="true" t="shared" si="1" ref="C6:C23">D6+E6</f>
        <v>#REF!</v>
      </c>
      <c r="D6" s="187">
        <f>0.45/1.13+1.16/1.09+0.23</f>
        <v>1.6924502719818135</v>
      </c>
      <c r="E6" s="187" t="e">
        <f aca="true" t="shared" si="2" ref="E6:E23">G6++I6+K6+M6+O6+O6+Q6</f>
        <v>#REF!</v>
      </c>
      <c r="F6" s="187">
        <v>1.3</v>
      </c>
      <c r="G6" s="187">
        <f>F6*$G$24</f>
        <v>12.129000000000001</v>
      </c>
      <c r="H6" s="187"/>
      <c r="I6" s="187"/>
      <c r="J6" s="187"/>
      <c r="K6" s="187"/>
      <c r="L6" s="187">
        <v>2.9</v>
      </c>
      <c r="M6" s="187" t="e">
        <f t="shared" si="0"/>
        <v>#REF!</v>
      </c>
      <c r="N6" s="187"/>
      <c r="O6" s="187"/>
      <c r="P6" s="187"/>
      <c r="Q6" s="187"/>
      <c r="R6" s="198"/>
    </row>
    <row r="7" spans="1:18" ht="19.5" customHeight="1">
      <c r="A7" s="188">
        <v>6020</v>
      </c>
      <c r="B7" s="184" t="s">
        <v>585</v>
      </c>
      <c r="C7" s="187" t="e">
        <f t="shared" si="1"/>
        <v>#REF!</v>
      </c>
      <c r="D7" s="187">
        <f>3.21/1.13+6.51/1.09+0.58</f>
        <v>9.393185028821952</v>
      </c>
      <c r="E7" s="187" t="e">
        <f t="shared" si="2"/>
        <v>#REF!</v>
      </c>
      <c r="F7" s="187">
        <v>1.3</v>
      </c>
      <c r="G7" s="187">
        <f>F7*$G$24</f>
        <v>12.129000000000001</v>
      </c>
      <c r="H7" s="187"/>
      <c r="I7" s="187"/>
      <c r="J7" s="187"/>
      <c r="K7" s="187"/>
      <c r="L7" s="187">
        <v>12.9</v>
      </c>
      <c r="M7" s="187" t="e">
        <f t="shared" si="0"/>
        <v>#REF!</v>
      </c>
      <c r="N7" s="187"/>
      <c r="O7" s="187"/>
      <c r="P7" s="187"/>
      <c r="Q7" s="187"/>
      <c r="R7" s="198"/>
    </row>
    <row r="8" spans="1:18" ht="19.5" customHeight="1">
      <c r="A8" s="188">
        <v>9044</v>
      </c>
      <c r="B8" s="184" t="s">
        <v>586</v>
      </c>
      <c r="C8" s="187" t="e">
        <f t="shared" si="1"/>
        <v>#REF!</v>
      </c>
      <c r="D8" s="187">
        <f>1.1/1.13+4.45/1.09+1.2</f>
        <v>6.256020134773078</v>
      </c>
      <c r="E8" s="187" t="e">
        <f t="shared" si="2"/>
        <v>#REF!</v>
      </c>
      <c r="F8" s="187">
        <v>1.3</v>
      </c>
      <c r="G8" s="187">
        <f>F8*$G$24</f>
        <v>12.129000000000001</v>
      </c>
      <c r="H8" s="187"/>
      <c r="I8" s="187"/>
      <c r="J8" s="187"/>
      <c r="K8" s="187"/>
      <c r="L8" s="187">
        <v>21.3</v>
      </c>
      <c r="M8" s="187" t="e">
        <f t="shared" si="0"/>
        <v>#REF!</v>
      </c>
      <c r="N8" s="187"/>
      <c r="O8" s="187"/>
      <c r="P8" s="187"/>
      <c r="Q8" s="187"/>
      <c r="R8" s="198"/>
    </row>
    <row r="9" spans="1:18" ht="19.5" customHeight="1">
      <c r="A9" s="188">
        <v>9045</v>
      </c>
      <c r="B9" s="184" t="s">
        <v>587</v>
      </c>
      <c r="C9" s="187" t="e">
        <f t="shared" si="1"/>
        <v>#REF!</v>
      </c>
      <c r="D9" s="187">
        <f>2.66/1.13+6.72/1.09+1.61</f>
        <v>10.129119915563855</v>
      </c>
      <c r="E9" s="187" t="e">
        <f t="shared" si="2"/>
        <v>#REF!</v>
      </c>
      <c r="F9" s="187">
        <v>1.3</v>
      </c>
      <c r="G9" s="187">
        <f>F9*$G$24</f>
        <v>12.129000000000001</v>
      </c>
      <c r="H9" s="187"/>
      <c r="I9" s="187"/>
      <c r="J9" s="187"/>
      <c r="K9" s="187"/>
      <c r="L9" s="187">
        <v>53.2</v>
      </c>
      <c r="M9" s="187" t="e">
        <f t="shared" si="0"/>
        <v>#REF!</v>
      </c>
      <c r="N9" s="187"/>
      <c r="O9" s="187"/>
      <c r="P9" s="187"/>
      <c r="Q9" s="187"/>
      <c r="R9" s="198"/>
    </row>
    <row r="10" spans="1:18" ht="19.5" customHeight="1">
      <c r="A10" s="188">
        <v>9124</v>
      </c>
      <c r="B10" s="184" t="s">
        <v>588</v>
      </c>
      <c r="C10" s="187" t="e">
        <f t="shared" si="1"/>
        <v>#REF!</v>
      </c>
      <c r="D10" s="187">
        <f>0.94/1.13+0.6/1.09+0.17</f>
        <v>1.5523171226759762</v>
      </c>
      <c r="E10" s="187" t="e">
        <f t="shared" si="2"/>
        <v>#REF!</v>
      </c>
      <c r="F10" s="187"/>
      <c r="G10" s="187"/>
      <c r="H10" s="187"/>
      <c r="I10" s="187"/>
      <c r="J10" s="187"/>
      <c r="K10" s="187"/>
      <c r="L10" s="187">
        <v>20</v>
      </c>
      <c r="M10" s="187" t="e">
        <f t="shared" si="0"/>
        <v>#REF!</v>
      </c>
      <c r="N10" s="187"/>
      <c r="O10" s="187"/>
      <c r="P10" s="187"/>
      <c r="Q10" s="187"/>
      <c r="R10" s="198"/>
    </row>
    <row r="11" spans="1:18" ht="19.5" customHeight="1">
      <c r="A11" s="188">
        <v>9125</v>
      </c>
      <c r="B11" s="184" t="s">
        <v>589</v>
      </c>
      <c r="C11" s="187" t="e">
        <f t="shared" si="1"/>
        <v>#REF!</v>
      </c>
      <c r="D11" s="187">
        <f>1.03/1.13+0.68/1.09+0.19</f>
        <v>1.7253576357879354</v>
      </c>
      <c r="E11" s="187" t="e">
        <f t="shared" si="2"/>
        <v>#REF!</v>
      </c>
      <c r="F11" s="187"/>
      <c r="G11" s="187"/>
      <c r="H11" s="187"/>
      <c r="I11" s="187"/>
      <c r="J11" s="187"/>
      <c r="K11" s="187"/>
      <c r="L11" s="187">
        <v>30</v>
      </c>
      <c r="M11" s="187" t="e">
        <f t="shared" si="0"/>
        <v>#REF!</v>
      </c>
      <c r="N11" s="187"/>
      <c r="O11" s="187"/>
      <c r="P11" s="187"/>
      <c r="Q11" s="187"/>
      <c r="R11" s="198"/>
    </row>
    <row r="12" spans="1:18" ht="19.5" customHeight="1">
      <c r="A12" s="188">
        <v>9126</v>
      </c>
      <c r="B12" s="184" t="s">
        <v>590</v>
      </c>
      <c r="C12" s="187" t="e">
        <f t="shared" si="1"/>
        <v>#REF!</v>
      </c>
      <c r="D12" s="187">
        <f>0.33/1.13+0.3/1.09+0.09</f>
        <v>0.6572647560282536</v>
      </c>
      <c r="E12" s="187" t="e">
        <f t="shared" si="2"/>
        <v>#REF!</v>
      </c>
      <c r="F12" s="187"/>
      <c r="G12" s="187"/>
      <c r="H12" s="187"/>
      <c r="I12" s="187"/>
      <c r="J12" s="187"/>
      <c r="K12" s="187"/>
      <c r="L12" s="187">
        <v>14.5</v>
      </c>
      <c r="M12" s="187" t="e">
        <f t="shared" si="0"/>
        <v>#REF!</v>
      </c>
      <c r="N12" s="187"/>
      <c r="O12" s="187"/>
      <c r="P12" s="187"/>
      <c r="Q12" s="187"/>
      <c r="R12" s="198"/>
    </row>
    <row r="13" spans="1:18" ht="19.5" customHeight="1">
      <c r="A13" s="188">
        <v>9136</v>
      </c>
      <c r="B13" s="184" t="s">
        <v>591</v>
      </c>
      <c r="C13" s="187" t="e">
        <f t="shared" si="1"/>
        <v>#REF!</v>
      </c>
      <c r="D13" s="187">
        <f>1.69/1.13+2.56/1.09+0.76</f>
        <v>4.604199074449947</v>
      </c>
      <c r="E13" s="187" t="e">
        <f>SUM(G13+M13+O13+Q13)</f>
        <v>#REF!</v>
      </c>
      <c r="F13" s="187">
        <v>1.3</v>
      </c>
      <c r="G13" s="187">
        <f aca="true" t="shared" si="3" ref="G13:G23">F13*$G$24</f>
        <v>12.129000000000001</v>
      </c>
      <c r="H13" s="187"/>
      <c r="I13" s="187"/>
      <c r="J13" s="187"/>
      <c r="K13" s="187"/>
      <c r="L13" s="187">
        <v>80.1</v>
      </c>
      <c r="M13" s="187" t="e">
        <f t="shared" si="0"/>
        <v>#REF!</v>
      </c>
      <c r="N13" s="187">
        <v>8.1</v>
      </c>
      <c r="O13" s="187" t="e">
        <f>N13*L25</f>
        <v>#REF!</v>
      </c>
      <c r="P13" s="187">
        <v>3.2</v>
      </c>
      <c r="Q13" s="187" t="e">
        <f>P13*L26</f>
        <v>#REF!</v>
      </c>
      <c r="R13" s="198"/>
    </row>
    <row r="14" spans="1:18" ht="19.5" customHeight="1">
      <c r="A14" s="188">
        <v>9143</v>
      </c>
      <c r="B14" s="184" t="s">
        <v>592</v>
      </c>
      <c r="C14" s="187" t="e">
        <f t="shared" si="1"/>
        <v>#REF!</v>
      </c>
      <c r="D14" s="187">
        <f>0.53/1.13+1.45/1.09+0.24</f>
        <v>2.0393017780303646</v>
      </c>
      <c r="E14" s="187" t="e">
        <f t="shared" si="2"/>
        <v>#REF!</v>
      </c>
      <c r="F14" s="187">
        <v>1.3</v>
      </c>
      <c r="G14" s="187">
        <f t="shared" si="3"/>
        <v>12.129000000000001</v>
      </c>
      <c r="H14" s="187"/>
      <c r="I14" s="187"/>
      <c r="J14" s="187"/>
      <c r="K14" s="187"/>
      <c r="L14" s="187">
        <v>6</v>
      </c>
      <c r="M14" s="187" t="e">
        <f t="shared" si="0"/>
        <v>#REF!</v>
      </c>
      <c r="N14" s="187"/>
      <c r="O14" s="187"/>
      <c r="P14" s="187"/>
      <c r="Q14" s="187"/>
      <c r="R14" s="198"/>
    </row>
    <row r="15" spans="1:18" ht="19.5" customHeight="1">
      <c r="A15" s="188">
        <v>9146</v>
      </c>
      <c r="B15" s="184" t="s">
        <v>593</v>
      </c>
      <c r="C15" s="187" t="e">
        <f t="shared" si="1"/>
        <v>#REF!</v>
      </c>
      <c r="D15" s="187">
        <f>1.18/1.13+1.71/1.09+0.28</f>
        <v>2.893055127060161</v>
      </c>
      <c r="E15" s="187" t="e">
        <f t="shared" si="2"/>
        <v>#REF!</v>
      </c>
      <c r="F15" s="187">
        <v>1.3</v>
      </c>
      <c r="G15" s="187">
        <f t="shared" si="3"/>
        <v>12.129000000000001</v>
      </c>
      <c r="H15" s="187"/>
      <c r="I15" s="187"/>
      <c r="J15" s="187"/>
      <c r="K15" s="187"/>
      <c r="L15" s="187">
        <v>17.2</v>
      </c>
      <c r="M15" s="187" t="e">
        <f t="shared" si="0"/>
        <v>#REF!</v>
      </c>
      <c r="N15" s="187"/>
      <c r="O15" s="187"/>
      <c r="P15" s="187"/>
      <c r="Q15" s="187"/>
      <c r="R15" s="198"/>
    </row>
    <row r="16" spans="1:18" ht="19.5" customHeight="1">
      <c r="A16" s="188">
        <v>9147</v>
      </c>
      <c r="B16" s="184" t="s">
        <v>594</v>
      </c>
      <c r="C16" s="187" t="e">
        <f t="shared" si="1"/>
        <v>#REF!</v>
      </c>
      <c r="D16" s="187">
        <f>1.6/1.13+2.69/1.09+0.44</f>
        <v>4.323819111796704</v>
      </c>
      <c r="E16" s="187" t="e">
        <f t="shared" si="2"/>
        <v>#REF!</v>
      </c>
      <c r="F16" s="187">
        <v>1.3</v>
      </c>
      <c r="G16" s="187">
        <f t="shared" si="3"/>
        <v>12.129000000000001</v>
      </c>
      <c r="H16" s="187"/>
      <c r="I16" s="187"/>
      <c r="J16" s="187"/>
      <c r="K16" s="187"/>
      <c r="L16" s="187">
        <v>7.2</v>
      </c>
      <c r="M16" s="187" t="e">
        <f t="shared" si="0"/>
        <v>#REF!</v>
      </c>
      <c r="N16" s="187"/>
      <c r="O16" s="187"/>
      <c r="P16" s="187"/>
      <c r="Q16" s="187"/>
      <c r="R16" s="198"/>
    </row>
    <row r="17" spans="1:18" ht="19.5" customHeight="1">
      <c r="A17" s="188">
        <v>9148</v>
      </c>
      <c r="B17" s="184" t="s">
        <v>595</v>
      </c>
      <c r="C17" s="187" t="e">
        <f t="shared" si="1"/>
        <v>#REF!</v>
      </c>
      <c r="D17" s="187">
        <f>8.65/1.13+4.89/1.09+1.33</f>
        <v>13.471105788747261</v>
      </c>
      <c r="E17" s="187" t="e">
        <f t="shared" si="2"/>
        <v>#REF!</v>
      </c>
      <c r="F17" s="187">
        <v>1.3</v>
      </c>
      <c r="G17" s="187">
        <f t="shared" si="3"/>
        <v>12.129000000000001</v>
      </c>
      <c r="H17" s="187"/>
      <c r="I17" s="187"/>
      <c r="J17" s="187"/>
      <c r="K17" s="187"/>
      <c r="L17" s="187">
        <v>10.1</v>
      </c>
      <c r="M17" s="187" t="e">
        <f t="shared" si="0"/>
        <v>#REF!</v>
      </c>
      <c r="N17" s="187"/>
      <c r="O17" s="187"/>
      <c r="P17" s="187"/>
      <c r="Q17" s="187"/>
      <c r="R17" s="198"/>
    </row>
    <row r="18" spans="1:18" ht="19.5" customHeight="1">
      <c r="A18" s="188">
        <v>1094</v>
      </c>
      <c r="B18" s="189" t="s">
        <v>216</v>
      </c>
      <c r="C18" s="187">
        <f t="shared" si="1"/>
        <v>54.38068896646911</v>
      </c>
      <c r="D18" s="187">
        <f>5.07/1.13+5.62/1.09+0.22</f>
        <v>9.86268896646911</v>
      </c>
      <c r="E18" s="187">
        <f t="shared" si="2"/>
        <v>44.518</v>
      </c>
      <c r="F18" s="187">
        <v>2.4</v>
      </c>
      <c r="G18" s="187">
        <f t="shared" si="3"/>
        <v>22.392</v>
      </c>
      <c r="H18" s="187"/>
      <c r="I18" s="187"/>
      <c r="J18" s="187">
        <v>7.4</v>
      </c>
      <c r="K18" s="187">
        <f>J18*$G$26</f>
        <v>22.126</v>
      </c>
      <c r="L18" s="187"/>
      <c r="M18" s="187"/>
      <c r="N18" s="187"/>
      <c r="O18" s="187"/>
      <c r="P18" s="187"/>
      <c r="Q18" s="187"/>
      <c r="R18" s="198"/>
    </row>
    <row r="19" spans="1:18" ht="19.5" customHeight="1">
      <c r="A19" s="188">
        <v>9202</v>
      </c>
      <c r="B19" s="189" t="s">
        <v>243</v>
      </c>
      <c r="C19" s="187" t="e">
        <f t="shared" si="1"/>
        <v>#REF!</v>
      </c>
      <c r="D19" s="187">
        <f>0.4/1.13+1.17/1.09+0.05</f>
        <v>1.4773767962977997</v>
      </c>
      <c r="E19" s="187" t="e">
        <f t="shared" si="2"/>
        <v>#REF!</v>
      </c>
      <c r="F19" s="187">
        <v>2.4</v>
      </c>
      <c r="G19" s="187">
        <f t="shared" si="3"/>
        <v>22.392</v>
      </c>
      <c r="H19" s="187"/>
      <c r="I19" s="187"/>
      <c r="J19" s="187"/>
      <c r="K19" s="187"/>
      <c r="L19" s="187">
        <v>7.1</v>
      </c>
      <c r="M19" s="187" t="e">
        <f t="shared" si="0"/>
        <v>#REF!</v>
      </c>
      <c r="N19" s="187"/>
      <c r="O19" s="187"/>
      <c r="P19" s="187"/>
      <c r="Q19" s="187"/>
      <c r="R19" s="198"/>
    </row>
    <row r="20" spans="1:18" ht="19.5" customHeight="1">
      <c r="A20" s="188">
        <v>9204</v>
      </c>
      <c r="B20" s="189" t="s">
        <v>244</v>
      </c>
      <c r="C20" s="187" t="e">
        <f t="shared" si="1"/>
        <v>#REF!</v>
      </c>
      <c r="D20" s="187">
        <f>1.01/1.13+1.1/1.09+0.15</f>
        <v>2.0529796216611187</v>
      </c>
      <c r="E20" s="187" t="e">
        <f t="shared" si="2"/>
        <v>#REF!</v>
      </c>
      <c r="F20" s="187">
        <v>1.3</v>
      </c>
      <c r="G20" s="187">
        <f t="shared" si="3"/>
        <v>12.129000000000001</v>
      </c>
      <c r="H20" s="187"/>
      <c r="I20" s="187"/>
      <c r="J20" s="187"/>
      <c r="K20" s="187"/>
      <c r="L20" s="187">
        <v>9</v>
      </c>
      <c r="M20" s="187" t="e">
        <f t="shared" si="0"/>
        <v>#REF!</v>
      </c>
      <c r="N20" s="187"/>
      <c r="O20" s="187"/>
      <c r="P20" s="187"/>
      <c r="Q20" s="187"/>
      <c r="R20" s="198"/>
    </row>
    <row r="21" spans="1:18" ht="19.5" customHeight="1">
      <c r="A21" s="188">
        <v>4019</v>
      </c>
      <c r="B21" s="189" t="s">
        <v>596</v>
      </c>
      <c r="C21" s="187" t="e">
        <f t="shared" si="1"/>
        <v>#REF!</v>
      </c>
      <c r="D21" s="187">
        <f>195.05/1.13+29.26/1.09</f>
        <v>199.45465616627428</v>
      </c>
      <c r="E21" s="187" t="e">
        <f t="shared" si="2"/>
        <v>#REF!</v>
      </c>
      <c r="F21" s="187">
        <v>7.7</v>
      </c>
      <c r="G21" s="187">
        <f t="shared" si="3"/>
        <v>71.84100000000001</v>
      </c>
      <c r="H21" s="187"/>
      <c r="I21" s="187"/>
      <c r="J21" s="187"/>
      <c r="K21" s="187"/>
      <c r="L21" s="187">
        <v>47.6</v>
      </c>
      <c r="M21" s="187" t="e">
        <f t="shared" si="0"/>
        <v>#REF!</v>
      </c>
      <c r="N21" s="187"/>
      <c r="O21" s="187"/>
      <c r="P21" s="187"/>
      <c r="Q21" s="187"/>
      <c r="R21" s="198"/>
    </row>
    <row r="22" spans="1:18" ht="19.5" customHeight="1">
      <c r="A22" s="188">
        <v>1092</v>
      </c>
      <c r="B22" s="189" t="s">
        <v>597</v>
      </c>
      <c r="C22" s="187">
        <f t="shared" si="1"/>
        <v>66.63596322156369</v>
      </c>
      <c r="D22" s="187">
        <f>10.12/1.13+17.28/1.09</f>
        <v>24.808963221563694</v>
      </c>
      <c r="E22" s="187">
        <f t="shared" si="2"/>
        <v>41.827</v>
      </c>
      <c r="F22" s="187">
        <v>2.4</v>
      </c>
      <c r="G22" s="187">
        <f t="shared" si="3"/>
        <v>22.392</v>
      </c>
      <c r="H22" s="187"/>
      <c r="I22" s="187"/>
      <c r="J22" s="187">
        <v>6.5</v>
      </c>
      <c r="K22" s="187">
        <f>J22*$G$26</f>
        <v>19.435000000000002</v>
      </c>
      <c r="L22" s="187"/>
      <c r="M22" s="196"/>
      <c r="N22" s="196"/>
      <c r="O22" s="196"/>
      <c r="P22" s="196"/>
      <c r="Q22" s="196"/>
      <c r="R22" s="199"/>
    </row>
    <row r="23" spans="1:18" ht="19.5" customHeight="1">
      <c r="A23" s="190">
        <v>3075</v>
      </c>
      <c r="B23" s="191" t="s">
        <v>598</v>
      </c>
      <c r="C23" s="192">
        <f t="shared" si="1"/>
        <v>18.812912072744986</v>
      </c>
      <c r="D23" s="192">
        <f>1.22/1.13+1.22/1.09</f>
        <v>2.198912072744987</v>
      </c>
      <c r="E23" s="192">
        <f t="shared" si="2"/>
        <v>16.614</v>
      </c>
      <c r="F23" s="192">
        <v>1.3</v>
      </c>
      <c r="G23" s="192">
        <f t="shared" si="3"/>
        <v>12.129000000000001</v>
      </c>
      <c r="H23" s="192"/>
      <c r="I23" s="192"/>
      <c r="J23" s="192">
        <v>1.5</v>
      </c>
      <c r="K23" s="192">
        <f>J23*$G$26</f>
        <v>4.485</v>
      </c>
      <c r="L23" s="192"/>
      <c r="M23" s="192"/>
      <c r="N23" s="192"/>
      <c r="O23" s="192"/>
      <c r="P23" s="192"/>
      <c r="Q23" s="192"/>
      <c r="R23" s="200"/>
    </row>
    <row r="24" spans="1:18" ht="20.25" customHeight="1">
      <c r="A24" s="193"/>
      <c r="B24" s="193"/>
      <c r="C24" s="193"/>
      <c r="D24" s="193"/>
      <c r="E24" s="523" t="s">
        <v>537</v>
      </c>
      <c r="F24" s="523"/>
      <c r="G24" s="195">
        <f>'人工'!E7</f>
        <v>9.33</v>
      </c>
      <c r="H24" s="194"/>
      <c r="I24" s="194"/>
      <c r="J24" s="523" t="s">
        <v>538</v>
      </c>
      <c r="K24" s="523"/>
      <c r="L24" s="195" t="e">
        <f>'台时-1'!L28</f>
        <v>#REF!</v>
      </c>
      <c r="M24" s="193"/>
      <c r="N24" s="193"/>
      <c r="O24" s="193"/>
      <c r="P24" s="193"/>
      <c r="Q24" s="193"/>
      <c r="R24" s="193"/>
    </row>
    <row r="25" spans="1:18" ht="20.25" customHeight="1">
      <c r="A25" s="193"/>
      <c r="B25" s="193"/>
      <c r="C25" s="193"/>
      <c r="D25" s="193"/>
      <c r="E25" s="523" t="s">
        <v>539</v>
      </c>
      <c r="F25" s="523"/>
      <c r="G25" s="195">
        <f>3075/1000</f>
        <v>3.075</v>
      </c>
      <c r="H25" s="194"/>
      <c r="I25" s="194"/>
      <c r="J25" s="523" t="s">
        <v>540</v>
      </c>
      <c r="K25" s="523"/>
      <c r="L25" s="195" t="e">
        <f>'台时-1'!L29</f>
        <v>#REF!</v>
      </c>
      <c r="M25" s="193"/>
      <c r="N25" s="193"/>
      <c r="O25" s="193"/>
      <c r="P25" s="193"/>
      <c r="Q25" s="193"/>
      <c r="R25" s="193"/>
    </row>
    <row r="26" spans="1:18" ht="20.25" customHeight="1">
      <c r="A26" s="193"/>
      <c r="B26" s="193"/>
      <c r="C26" s="193"/>
      <c r="D26" s="193"/>
      <c r="E26" s="523" t="s">
        <v>541</v>
      </c>
      <c r="F26" s="523"/>
      <c r="G26" s="195">
        <f>2990/1000</f>
        <v>2.99</v>
      </c>
      <c r="H26" s="194"/>
      <c r="I26" s="194"/>
      <c r="J26" s="523" t="s">
        <v>542</v>
      </c>
      <c r="K26" s="523"/>
      <c r="L26" s="195" t="e">
        <f>'台时-1'!L30</f>
        <v>#REF!</v>
      </c>
      <c r="M26" s="193"/>
      <c r="N26" s="193"/>
      <c r="O26" s="193"/>
      <c r="P26" s="193"/>
      <c r="Q26" s="193"/>
      <c r="R26" s="193"/>
    </row>
  </sheetData>
  <sheetProtection/>
  <mergeCells count="20">
    <mergeCell ref="R2:R4"/>
    <mergeCell ref="E25:F25"/>
    <mergeCell ref="J25:K25"/>
    <mergeCell ref="N3:O3"/>
    <mergeCell ref="P3:Q3"/>
    <mergeCell ref="E26:F26"/>
    <mergeCell ref="J26:K26"/>
    <mergeCell ref="E24:F24"/>
    <mergeCell ref="J24:K24"/>
    <mergeCell ref="E2:E4"/>
    <mergeCell ref="A1:R1"/>
    <mergeCell ref="F2:Q2"/>
    <mergeCell ref="F3:G3"/>
    <mergeCell ref="H3:I3"/>
    <mergeCell ref="J3:K3"/>
    <mergeCell ref="L3:M3"/>
    <mergeCell ref="C2:C4"/>
    <mergeCell ref="D2:D4"/>
    <mergeCell ref="A2:A4"/>
    <mergeCell ref="B2:B4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1200" verticalDpi="12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N16" sqref="N16"/>
    </sheetView>
  </sheetViews>
  <sheetFormatPr defaultColWidth="8.625" defaultRowHeight="14.25"/>
  <sheetData>
    <row r="1" spans="1:14" ht="46.5">
      <c r="A1" s="524" t="s">
        <v>599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65"/>
    </row>
    <row r="2" spans="1:14" ht="14.25">
      <c r="A2" s="446" t="s">
        <v>600</v>
      </c>
      <c r="B2" s="8" t="s">
        <v>601</v>
      </c>
      <c r="C2" s="8" t="s">
        <v>602</v>
      </c>
      <c r="D2" s="8" t="s">
        <v>174</v>
      </c>
      <c r="E2" s="8" t="s">
        <v>603</v>
      </c>
      <c r="F2" s="8" t="s">
        <v>604</v>
      </c>
      <c r="G2" s="8" t="s">
        <v>199</v>
      </c>
      <c r="H2" s="8" t="s">
        <v>89</v>
      </c>
      <c r="I2" s="8" t="s">
        <v>431</v>
      </c>
      <c r="J2" s="8" t="s">
        <v>605</v>
      </c>
      <c r="K2" s="8" t="s">
        <v>606</v>
      </c>
      <c r="L2" s="8" t="s">
        <v>607</v>
      </c>
      <c r="M2" s="8" t="s">
        <v>608</v>
      </c>
      <c r="N2" s="8" t="s">
        <v>177</v>
      </c>
    </row>
    <row r="3" spans="1:14" ht="15.75">
      <c r="A3" s="446"/>
      <c r="B3" s="12" t="s">
        <v>609</v>
      </c>
      <c r="C3" s="12" t="s">
        <v>609</v>
      </c>
      <c r="D3" s="12" t="s">
        <v>610</v>
      </c>
      <c r="E3" s="12" t="s">
        <v>609</v>
      </c>
      <c r="F3" s="12" t="s">
        <v>609</v>
      </c>
      <c r="G3" s="12" t="s">
        <v>609</v>
      </c>
      <c r="H3" s="12" t="s">
        <v>611</v>
      </c>
      <c r="I3" s="12" t="s">
        <v>609</v>
      </c>
      <c r="J3" s="12" t="s">
        <v>609</v>
      </c>
      <c r="K3" s="12" t="s">
        <v>609</v>
      </c>
      <c r="L3" s="12" t="s">
        <v>609</v>
      </c>
      <c r="M3" s="8" t="s">
        <v>612</v>
      </c>
      <c r="N3" s="12" t="s">
        <v>611</v>
      </c>
    </row>
    <row r="4" spans="1:14" ht="14.25">
      <c r="A4" s="8" t="s">
        <v>613</v>
      </c>
      <c r="B4" s="8"/>
      <c r="C4" s="8"/>
      <c r="D4" s="8"/>
      <c r="E4" s="8">
        <v>2.53</v>
      </c>
      <c r="F4" s="8">
        <v>8.04</v>
      </c>
      <c r="G4" s="8">
        <v>6.68</v>
      </c>
      <c r="H4" s="8">
        <v>35.74</v>
      </c>
      <c r="I4" s="8"/>
      <c r="J4" s="8"/>
      <c r="K4" s="8"/>
      <c r="L4" s="8"/>
      <c r="M4" s="8"/>
      <c r="N4" s="8"/>
    </row>
    <row r="5" spans="1:14" ht="14.25">
      <c r="A5" s="8" t="s">
        <v>614</v>
      </c>
      <c r="B5" s="8">
        <v>14.08</v>
      </c>
      <c r="C5" s="8">
        <v>1.32</v>
      </c>
      <c r="D5" s="8">
        <v>2.6</v>
      </c>
      <c r="E5" s="8"/>
      <c r="F5" s="8"/>
      <c r="G5" s="8"/>
      <c r="H5" s="8"/>
      <c r="I5" s="8"/>
      <c r="J5" s="8"/>
      <c r="K5" s="8"/>
      <c r="L5" s="8"/>
      <c r="M5" s="8"/>
      <c r="N5" s="8">
        <v>30.74</v>
      </c>
    </row>
    <row r="6" spans="1:14" ht="14.25">
      <c r="A6" s="8" t="s">
        <v>615</v>
      </c>
      <c r="B6" s="8">
        <v>3.86</v>
      </c>
      <c r="C6" s="8">
        <v>0.84</v>
      </c>
      <c r="D6" s="8"/>
      <c r="E6" s="8"/>
      <c r="F6" s="8"/>
      <c r="G6" s="8"/>
      <c r="H6" s="8"/>
      <c r="I6" s="8"/>
      <c r="J6" s="8"/>
      <c r="K6" s="8"/>
      <c r="L6" s="8"/>
      <c r="M6" s="8"/>
      <c r="N6" s="8">
        <v>16.72</v>
      </c>
    </row>
    <row r="7" spans="1:14" ht="14.25">
      <c r="A7" s="8" t="s">
        <v>616</v>
      </c>
      <c r="B7" s="8">
        <v>23.07</v>
      </c>
      <c r="C7" s="8">
        <v>1.37</v>
      </c>
      <c r="D7" s="8">
        <v>7.4</v>
      </c>
      <c r="E7" s="8"/>
      <c r="F7" s="8"/>
      <c r="G7" s="8"/>
      <c r="H7" s="8"/>
      <c r="I7" s="8"/>
      <c r="J7" s="8"/>
      <c r="K7" s="8"/>
      <c r="L7" s="8"/>
      <c r="M7" s="8"/>
      <c r="N7" s="8">
        <v>36.38</v>
      </c>
    </row>
    <row r="8" spans="1:14" ht="14.25">
      <c r="A8" s="8" t="s">
        <v>617</v>
      </c>
      <c r="B8" s="8">
        <f>24.02-B9</f>
        <v>9.02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38.5</v>
      </c>
    </row>
    <row r="9" spans="1:14" ht="14.25">
      <c r="A9" s="8" t="s">
        <v>618</v>
      </c>
      <c r="B9" s="8">
        <f>2.5*3*2</f>
        <v>15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4.25">
      <c r="A10" s="8" t="s">
        <v>619</v>
      </c>
      <c r="B10" s="8">
        <v>2.22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12.5</v>
      </c>
    </row>
    <row r="11" spans="1:14" ht="14.25">
      <c r="A11" s="8" t="s">
        <v>620</v>
      </c>
      <c r="B11" s="8"/>
      <c r="C11" s="8"/>
      <c r="D11" s="65"/>
      <c r="E11" s="8"/>
      <c r="F11" s="8"/>
      <c r="G11" s="8">
        <v>39</v>
      </c>
      <c r="H11" s="8">
        <v>360</v>
      </c>
      <c r="I11" s="8"/>
      <c r="J11" s="8"/>
      <c r="K11" s="8"/>
      <c r="L11" s="8">
        <v>130</v>
      </c>
      <c r="M11" s="8"/>
      <c r="N11" s="8"/>
    </row>
    <row r="12" spans="1:14" ht="14.25">
      <c r="A12" s="8" t="s">
        <v>621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100</v>
      </c>
      <c r="N12" s="8"/>
    </row>
    <row r="13" spans="1:14" ht="14.25">
      <c r="A13" s="182" t="s">
        <v>276</v>
      </c>
      <c r="B13" s="182">
        <f>SUM(B5:B10)</f>
        <v>67.25</v>
      </c>
      <c r="C13" s="182">
        <f>SUM(C5:C7)</f>
        <v>3.5300000000000002</v>
      </c>
      <c r="D13" s="182">
        <f>SUM(D5:D7)</f>
        <v>10</v>
      </c>
      <c r="E13" s="182">
        <f>SUM(E4:E12)</f>
        <v>2.53</v>
      </c>
      <c r="F13" s="182">
        <f>SUM(F4:F12)</f>
        <v>8.04</v>
      </c>
      <c r="G13" s="182">
        <f>SUM(G4:G11)</f>
        <v>45.68</v>
      </c>
      <c r="H13" s="182">
        <f>SUM(H4:H11)</f>
        <v>395.74</v>
      </c>
      <c r="I13" s="182">
        <v>615</v>
      </c>
      <c r="J13" s="182">
        <v>165</v>
      </c>
      <c r="K13" s="182">
        <v>72</v>
      </c>
      <c r="L13" s="182">
        <v>130</v>
      </c>
      <c r="M13" s="182">
        <v>100</v>
      </c>
      <c r="N13" s="182">
        <f>SUM(N5:N10)</f>
        <v>134.84</v>
      </c>
    </row>
    <row r="14" spans="1:14" ht="31.5">
      <c r="A14" s="525" t="s">
        <v>622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</row>
    <row r="15" spans="1:14" ht="31.5">
      <c r="A15" s="525" t="s">
        <v>623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</row>
  </sheetData>
  <sheetProtection/>
  <mergeCells count="4">
    <mergeCell ref="A1:M1"/>
    <mergeCell ref="A14:N14"/>
    <mergeCell ref="A15:N15"/>
    <mergeCell ref="A2:A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workbookViewId="0" topLeftCell="A1">
      <selection activeCell="F26" sqref="F26"/>
    </sheetView>
  </sheetViews>
  <sheetFormatPr defaultColWidth="8.625" defaultRowHeight="14.25"/>
  <cols>
    <col min="1" max="1" width="7.25390625" style="27" customWidth="1"/>
    <col min="2" max="2" width="21.25390625" style="27" customWidth="1"/>
    <col min="3" max="3" width="9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624</v>
      </c>
      <c r="C3" s="465"/>
      <c r="D3" s="465"/>
      <c r="E3" s="29" t="s">
        <v>38</v>
      </c>
      <c r="F3" s="180" t="s">
        <v>625</v>
      </c>
    </row>
    <row r="4" spans="1:6" ht="21" customHeight="1">
      <c r="A4" s="29" t="s">
        <v>251</v>
      </c>
      <c r="B4" s="526" t="s">
        <v>626</v>
      </c>
      <c r="C4" s="527"/>
      <c r="D4" s="528"/>
      <c r="E4" s="29" t="s">
        <v>43</v>
      </c>
      <c r="F4" s="29" t="s">
        <v>627</v>
      </c>
    </row>
    <row r="5" spans="1:6" ht="19.5" customHeight="1">
      <c r="A5" s="465" t="s">
        <v>628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289</v>
      </c>
      <c r="C9" s="29"/>
      <c r="D9" s="31"/>
      <c r="E9" s="31"/>
      <c r="F9" s="32">
        <f>F10+F17</f>
        <v>889.791744</v>
      </c>
    </row>
    <row r="10" spans="1:6" ht="19.5" customHeight="1">
      <c r="A10" s="29" t="s">
        <v>49</v>
      </c>
      <c r="B10" s="29" t="s">
        <v>290</v>
      </c>
      <c r="C10" s="29"/>
      <c r="D10" s="29"/>
      <c r="E10" s="31"/>
      <c r="F10" s="32">
        <f>F11+F14</f>
        <v>826.944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SUM(F12:F13)</f>
        <v>559.8</v>
      </c>
    </row>
    <row r="12" spans="1:6" ht="19.5" customHeight="1" hidden="1">
      <c r="A12" s="29"/>
      <c r="B12" s="29" t="s">
        <v>347</v>
      </c>
      <c r="C12" s="29" t="s">
        <v>291</v>
      </c>
      <c r="D12" s="29"/>
      <c r="E12" s="31">
        <f>'[1]格宾石笼'!E12</f>
        <v>8.31</v>
      </c>
      <c r="F12" s="31">
        <f>D12*E12</f>
        <v>0</v>
      </c>
    </row>
    <row r="13" spans="1:6" ht="19.5" customHeight="1">
      <c r="A13" s="29"/>
      <c r="B13" s="29" t="s">
        <v>511</v>
      </c>
      <c r="C13" s="29" t="s">
        <v>291</v>
      </c>
      <c r="D13" s="33">
        <v>60</v>
      </c>
      <c r="E13" s="31">
        <f>'中级工'!G20</f>
        <v>9.33</v>
      </c>
      <c r="F13" s="31">
        <f>D13*E13</f>
        <v>559.8</v>
      </c>
    </row>
    <row r="14" spans="1:6" ht="19.5" customHeight="1">
      <c r="A14" s="29">
        <v>2</v>
      </c>
      <c r="B14" s="29" t="s">
        <v>163</v>
      </c>
      <c r="C14" s="29"/>
      <c r="D14" s="33"/>
      <c r="E14" s="31"/>
      <c r="F14" s="31">
        <f>SUM(F15:F16)</f>
        <v>267.144</v>
      </c>
    </row>
    <row r="15" spans="1:6" ht="19.5" customHeight="1">
      <c r="A15" s="29"/>
      <c r="B15" s="29" t="s">
        <v>629</v>
      </c>
      <c r="C15" s="181" t="s">
        <v>283</v>
      </c>
      <c r="D15" s="33">
        <v>80</v>
      </c>
      <c r="E15" s="31">
        <f>SUM('[1]价格'!F16)</f>
        <v>66.786</v>
      </c>
      <c r="F15" s="31"/>
    </row>
    <row r="16" spans="1:6" ht="19.5" customHeight="1">
      <c r="A16" s="29"/>
      <c r="B16" s="29" t="s">
        <v>315</v>
      </c>
      <c r="C16" s="29" t="s">
        <v>156</v>
      </c>
      <c r="D16" s="34">
        <v>5</v>
      </c>
      <c r="E16" s="35"/>
      <c r="F16" s="31">
        <f>(D15*E15)*D16/100</f>
        <v>267.144</v>
      </c>
    </row>
    <row r="17" spans="1:6" ht="19.5" customHeight="1">
      <c r="A17" s="29" t="s">
        <v>57</v>
      </c>
      <c r="B17" s="29" t="s">
        <v>165</v>
      </c>
      <c r="C17" s="29" t="s">
        <v>156</v>
      </c>
      <c r="D17" s="29">
        <v>7.6</v>
      </c>
      <c r="E17" s="29"/>
      <c r="F17" s="31">
        <f>F10*D17/100</f>
        <v>62.84774399999999</v>
      </c>
    </row>
    <row r="18" spans="1:6" ht="19.5" customHeight="1">
      <c r="A18" s="29" t="s">
        <v>13</v>
      </c>
      <c r="B18" s="29" t="s">
        <v>166</v>
      </c>
      <c r="C18" s="29" t="s">
        <v>156</v>
      </c>
      <c r="D18" s="29">
        <v>5</v>
      </c>
      <c r="E18" s="29"/>
      <c r="F18" s="31">
        <f>F9*D18/100</f>
        <v>44.489587199999995</v>
      </c>
    </row>
    <row r="19" spans="1:6" ht="19.5" customHeight="1">
      <c r="A19" s="29" t="s">
        <v>21</v>
      </c>
      <c r="B19" s="29" t="s">
        <v>296</v>
      </c>
      <c r="C19" s="29" t="s">
        <v>156</v>
      </c>
      <c r="D19" s="29">
        <v>7</v>
      </c>
      <c r="E19" s="29"/>
      <c r="F19" s="31">
        <f>(F9+F18)*D19/100</f>
        <v>65.399693184</v>
      </c>
    </row>
    <row r="20" spans="1:6" ht="19.5" customHeight="1">
      <c r="A20" s="29" t="s">
        <v>60</v>
      </c>
      <c r="B20" s="29" t="s">
        <v>630</v>
      </c>
      <c r="C20" s="181" t="s">
        <v>283</v>
      </c>
      <c r="D20" s="33">
        <v>80</v>
      </c>
      <c r="E20" s="31">
        <v>66.79</v>
      </c>
      <c r="F20" s="31">
        <f>D20*E20</f>
        <v>5343.200000000001</v>
      </c>
    </row>
    <row r="21" spans="1:6" ht="19.5" customHeight="1">
      <c r="A21" s="29" t="s">
        <v>62</v>
      </c>
      <c r="B21" s="29" t="s">
        <v>167</v>
      </c>
      <c r="C21" s="29" t="s">
        <v>156</v>
      </c>
      <c r="D21" s="29">
        <v>11</v>
      </c>
      <c r="E21" s="29"/>
      <c r="F21" s="31">
        <f>(F9+F18+F19+F20)*D21/100</f>
        <v>697.71691268224</v>
      </c>
    </row>
    <row r="22" spans="1:6" ht="19.5" customHeight="1" hidden="1">
      <c r="A22" s="29"/>
      <c r="B22" s="29"/>
      <c r="C22" s="29"/>
      <c r="D22" s="29"/>
      <c r="E22" s="29"/>
      <c r="F22" s="31"/>
    </row>
    <row r="23" spans="1:6" ht="19.5" customHeight="1" hidden="1">
      <c r="A23" s="29"/>
      <c r="B23" s="29"/>
      <c r="C23" s="29"/>
      <c r="D23" s="29"/>
      <c r="E23" s="29"/>
      <c r="F23" s="31"/>
    </row>
    <row r="24" spans="1:6" ht="19.5" customHeight="1" hidden="1">
      <c r="A24" s="29"/>
      <c r="B24" s="29"/>
      <c r="C24" s="29"/>
      <c r="D24" s="29"/>
      <c r="E24" s="29"/>
      <c r="F24" s="31"/>
    </row>
    <row r="25" spans="1:6" ht="19.5" customHeight="1" hidden="1">
      <c r="A25" s="29"/>
      <c r="B25" s="29"/>
      <c r="C25" s="29"/>
      <c r="D25" s="29"/>
      <c r="E25" s="29"/>
      <c r="F25" s="31"/>
    </row>
    <row r="26" spans="1:6" ht="19.5" customHeight="1">
      <c r="A26" s="29"/>
      <c r="B26" s="31" t="s">
        <v>276</v>
      </c>
      <c r="C26" s="29"/>
      <c r="D26" s="29"/>
      <c r="E26" s="29"/>
      <c r="F26" s="31">
        <f>F9+F18+F19+F20+F21</f>
        <v>7040.597937066241</v>
      </c>
    </row>
    <row r="27" spans="1:6" ht="19.5" customHeight="1" hidden="1">
      <c r="A27" s="29"/>
      <c r="B27" s="31" t="s">
        <v>275</v>
      </c>
      <c r="C27" s="29"/>
      <c r="D27" s="29"/>
      <c r="E27" s="29"/>
      <c r="F27" s="31">
        <f>F26/100</f>
        <v>70.40597937066241</v>
      </c>
    </row>
    <row r="28" spans="1:6" ht="19.5" customHeight="1">
      <c r="A28" s="29"/>
      <c r="B28" s="31"/>
      <c r="C28" s="29"/>
      <c r="D28" s="29"/>
      <c r="E28" s="29"/>
      <c r="F28" s="31"/>
    </row>
    <row r="29" spans="1:6" ht="19.5" customHeight="1">
      <c r="A29" s="29"/>
      <c r="B29" s="31"/>
      <c r="C29" s="29"/>
      <c r="D29" s="29"/>
      <c r="E29" s="29"/>
      <c r="F29" s="31"/>
    </row>
    <row r="30" spans="1:6" ht="19.5" customHeight="1">
      <c r="A30" s="29"/>
      <c r="B30" s="31"/>
      <c r="C30" s="29"/>
      <c r="D30" s="29"/>
      <c r="E30" s="29"/>
      <c r="F30" s="31"/>
    </row>
    <row r="31" spans="1:6" ht="19.5" customHeight="1">
      <c r="A31" s="29"/>
      <c r="B31" s="31"/>
      <c r="C31" s="29"/>
      <c r="D31" s="29"/>
      <c r="E31" s="29"/>
      <c r="F31" s="31"/>
    </row>
    <row r="32" spans="1:6" ht="19.5" customHeight="1">
      <c r="A32" s="29"/>
      <c r="B32" s="31"/>
      <c r="C32" s="29"/>
      <c r="D32" s="29"/>
      <c r="E32" s="29"/>
      <c r="F32" s="31"/>
    </row>
    <row r="33" spans="1:6" ht="19.5" customHeight="1">
      <c r="A33" s="29"/>
      <c r="B33" s="36"/>
      <c r="C33" s="36"/>
      <c r="D33" s="36"/>
      <c r="E33" s="36"/>
      <c r="F33" s="37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F1"/>
    <mergeCell ref="B3:D3"/>
    <mergeCell ref="B4:D4"/>
    <mergeCell ref="A5:F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/>
  <headerFooter>
    <oddFooter>&amp;C-&amp;P--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55"/>
  <sheetViews>
    <sheetView workbookViewId="0" topLeftCell="N1">
      <pane ySplit="3" topLeftCell="A4" activePane="bottomLeft" state="frozen"/>
      <selection pane="topLeft" activeCell="A1" sqref="A1"/>
      <selection pane="bottomLeft" activeCell="AB4" sqref="AB4:AB6"/>
    </sheetView>
  </sheetViews>
  <sheetFormatPr defaultColWidth="8.125" defaultRowHeight="14.25"/>
  <cols>
    <col min="1" max="1" width="16.00390625" style="87" customWidth="1"/>
    <col min="2" max="2" width="13.25390625" style="88" customWidth="1"/>
    <col min="3" max="3" width="10.25390625" style="88" customWidth="1"/>
    <col min="4" max="6" width="10.125" style="88" customWidth="1"/>
    <col min="7" max="7" width="12.125" style="88" customWidth="1"/>
    <col min="8" max="8" width="8.375" style="88" bestFit="1" customWidth="1"/>
    <col min="9" max="10" width="8.125" style="88" customWidth="1"/>
    <col min="11" max="11" width="8.375" style="88" bestFit="1" customWidth="1"/>
    <col min="12" max="13" width="10.25390625" style="88" bestFit="1" customWidth="1"/>
    <col min="14" max="14" width="12.125" style="88" customWidth="1"/>
    <col min="15" max="16" width="8.125" style="88" customWidth="1"/>
    <col min="17" max="17" width="16.375" style="88" customWidth="1"/>
    <col min="18" max="18" width="13.75390625" style="88" customWidth="1"/>
    <col min="19" max="19" width="11.375" style="88" customWidth="1"/>
    <col min="20" max="20" width="11.00390625" style="88" customWidth="1"/>
    <col min="21" max="21" width="12.00390625" style="88" customWidth="1"/>
    <col min="22" max="22" width="13.875" style="88" customWidth="1"/>
    <col min="23" max="23" width="12.00390625" style="88" customWidth="1"/>
    <col min="24" max="24" width="13.00390625" style="88" customWidth="1"/>
    <col min="25" max="25" width="11.875" style="88" customWidth="1"/>
    <col min="26" max="26" width="8.125" style="88" customWidth="1"/>
    <col min="27" max="27" width="10.75390625" style="88" customWidth="1"/>
    <col min="28" max="28" width="10.50390625" style="88" customWidth="1"/>
    <col min="29" max="29" width="10.625" style="88" customWidth="1"/>
    <col min="30" max="30" width="11.25390625" style="88" customWidth="1"/>
    <col min="31" max="35" width="12.75390625" style="87" customWidth="1"/>
    <col min="36" max="16384" width="8.125" style="87" customWidth="1"/>
  </cols>
  <sheetData>
    <row r="1" spans="1:30" ht="22.5">
      <c r="A1" s="532" t="s">
        <v>631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</row>
    <row r="2" spans="1:35" ht="15.75">
      <c r="A2" s="531" t="s">
        <v>426</v>
      </c>
      <c r="B2" s="531" t="s">
        <v>632</v>
      </c>
      <c r="C2" s="531" t="s">
        <v>633</v>
      </c>
      <c r="D2" s="531"/>
      <c r="E2" s="533" t="s">
        <v>634</v>
      </c>
      <c r="F2" s="534"/>
      <c r="G2" s="531" t="s">
        <v>635</v>
      </c>
      <c r="H2" s="531" t="s">
        <v>636</v>
      </c>
      <c r="I2" s="531"/>
      <c r="J2" s="531"/>
      <c r="K2" s="531"/>
      <c r="L2" s="533" t="s">
        <v>637</v>
      </c>
      <c r="M2" s="534"/>
      <c r="N2" s="531" t="s">
        <v>638</v>
      </c>
      <c r="O2" s="533" t="s">
        <v>639</v>
      </c>
      <c r="P2" s="534"/>
      <c r="Q2" s="531" t="s">
        <v>640</v>
      </c>
      <c r="R2" s="531" t="s">
        <v>641</v>
      </c>
      <c r="S2" s="535"/>
      <c r="T2" s="535"/>
      <c r="U2" s="535"/>
      <c r="V2" s="531" t="s">
        <v>642</v>
      </c>
      <c r="W2" s="535"/>
      <c r="X2" s="535"/>
      <c r="Y2" s="535"/>
      <c r="Z2" s="531" t="s">
        <v>643</v>
      </c>
      <c r="AA2" s="531"/>
      <c r="AB2" s="531"/>
      <c r="AC2" s="531"/>
      <c r="AD2" s="531"/>
      <c r="AE2" s="448" t="s">
        <v>644</v>
      </c>
      <c r="AF2" s="448"/>
      <c r="AG2" s="448"/>
      <c r="AH2" s="448"/>
      <c r="AI2" s="448"/>
    </row>
    <row r="3" spans="1:35" ht="15.75">
      <c r="A3" s="531"/>
      <c r="B3" s="531"/>
      <c r="C3" s="91" t="s">
        <v>461</v>
      </c>
      <c r="D3" s="151" t="s">
        <v>460</v>
      </c>
      <c r="E3" s="91" t="s">
        <v>461</v>
      </c>
      <c r="F3" s="151" t="s">
        <v>460</v>
      </c>
      <c r="G3" s="531"/>
      <c r="H3" s="151" t="s">
        <v>645</v>
      </c>
      <c r="I3" s="91" t="s">
        <v>646</v>
      </c>
      <c r="J3" s="151" t="s">
        <v>647</v>
      </c>
      <c r="K3" s="91" t="s">
        <v>648</v>
      </c>
      <c r="L3" s="91" t="s">
        <v>461</v>
      </c>
      <c r="M3" s="151" t="s">
        <v>460</v>
      </c>
      <c r="N3" s="531"/>
      <c r="O3" s="91" t="s">
        <v>461</v>
      </c>
      <c r="P3" s="151" t="s">
        <v>460</v>
      </c>
      <c r="Q3" s="531"/>
      <c r="R3" s="151" t="s">
        <v>649</v>
      </c>
      <c r="S3" s="151" t="s">
        <v>650</v>
      </c>
      <c r="T3" s="151" t="s">
        <v>651</v>
      </c>
      <c r="U3" s="151" t="s">
        <v>652</v>
      </c>
      <c r="V3" s="151" t="s">
        <v>653</v>
      </c>
      <c r="W3" s="151" t="s">
        <v>654</v>
      </c>
      <c r="X3" s="151" t="s">
        <v>655</v>
      </c>
      <c r="Y3" s="151" t="s">
        <v>656</v>
      </c>
      <c r="Z3" s="91" t="s">
        <v>657</v>
      </c>
      <c r="AA3" s="151" t="s">
        <v>658</v>
      </c>
      <c r="AB3" s="91" t="s">
        <v>659</v>
      </c>
      <c r="AC3" s="151" t="s">
        <v>660</v>
      </c>
      <c r="AD3" s="151" t="s">
        <v>661</v>
      </c>
      <c r="AE3" s="65" t="s">
        <v>662</v>
      </c>
      <c r="AF3" s="177" t="s">
        <v>663</v>
      </c>
      <c r="AG3" s="65" t="s">
        <v>664</v>
      </c>
      <c r="AH3" s="177" t="s">
        <v>665</v>
      </c>
      <c r="AI3" s="177" t="s">
        <v>666</v>
      </c>
    </row>
    <row r="4" spans="1:35" ht="22.5" customHeight="1">
      <c r="A4" s="151" t="s">
        <v>667</v>
      </c>
      <c r="B4" s="151">
        <v>0</v>
      </c>
      <c r="C4" s="8">
        <v>2.099465</v>
      </c>
      <c r="D4" s="8">
        <v>4.659401</v>
      </c>
      <c r="E4" s="91"/>
      <c r="F4" s="91"/>
      <c r="G4" s="91">
        <v>0</v>
      </c>
      <c r="H4" s="152"/>
      <c r="I4" s="152"/>
      <c r="J4" s="152"/>
      <c r="K4" s="152"/>
      <c r="L4" s="91"/>
      <c r="M4" s="91"/>
      <c r="N4" s="151">
        <v>0</v>
      </c>
      <c r="O4" s="151"/>
      <c r="P4" s="151"/>
      <c r="Q4" s="151">
        <v>0</v>
      </c>
      <c r="R4" s="152"/>
      <c r="S4" s="151">
        <v>0</v>
      </c>
      <c r="T4" s="152"/>
      <c r="U4" s="151">
        <v>0</v>
      </c>
      <c r="V4" s="152"/>
      <c r="W4" s="151">
        <v>0</v>
      </c>
      <c r="X4" s="152"/>
      <c r="Y4" s="151">
        <v>0</v>
      </c>
      <c r="Z4" s="152"/>
      <c r="AA4" s="151">
        <v>0</v>
      </c>
      <c r="AB4" s="152"/>
      <c r="AC4" s="151">
        <v>0</v>
      </c>
      <c r="AD4" s="91">
        <v>0</v>
      </c>
      <c r="AE4" s="65">
        <v>4.59726</v>
      </c>
      <c r="AF4" s="85"/>
      <c r="AG4" s="65">
        <v>8.84982</v>
      </c>
      <c r="AH4" s="85"/>
      <c r="AI4" s="85"/>
    </row>
    <row r="5" spans="1:35" ht="22.5" customHeight="1">
      <c r="A5" s="91" t="s">
        <v>668</v>
      </c>
      <c r="B5" s="91">
        <v>33</v>
      </c>
      <c r="C5" s="8">
        <v>2.099465</v>
      </c>
      <c r="D5" s="8">
        <v>4.659401</v>
      </c>
      <c r="E5" s="115">
        <f>(C5+C4)/2*B5</f>
        <v>69.28234499999999</v>
      </c>
      <c r="F5" s="115">
        <f>(D5+D4)/2*B5</f>
        <v>153.760233</v>
      </c>
      <c r="G5" s="91">
        <f>(D5+D4+C5+C4)/2*B5</f>
        <v>223.04257800000002</v>
      </c>
      <c r="H5" s="152"/>
      <c r="I5" s="152"/>
      <c r="J5" s="152"/>
      <c r="K5" s="152"/>
      <c r="L5" s="115">
        <f>(H5+H4+I5+I4)/2*B5</f>
        <v>0</v>
      </c>
      <c r="M5" s="115">
        <f>SUM(J5+J4+K5+K4)/2*B5</f>
        <v>0</v>
      </c>
      <c r="N5" s="151">
        <f>(K5+K4+J5+J4+I5+I4+H4+H5)/2*B5</f>
        <v>0</v>
      </c>
      <c r="O5" s="151"/>
      <c r="P5" s="151"/>
      <c r="Q5" s="151">
        <f aca="true" t="shared" si="0" ref="Q5:Q18">1.2*B5</f>
        <v>39.6</v>
      </c>
      <c r="R5" s="152"/>
      <c r="S5" s="91">
        <f aca="true" t="shared" si="1" ref="S5:S18">(R5+R4)/2*B5</f>
        <v>0</v>
      </c>
      <c r="T5" s="152"/>
      <c r="U5" s="91">
        <f aca="true" t="shared" si="2" ref="U5:U18">(T5+T4)/2*B5</f>
        <v>0</v>
      </c>
      <c r="V5" s="152"/>
      <c r="W5" s="91">
        <f aca="true" t="shared" si="3" ref="W5:W18">(V5+V4)/2*B5</f>
        <v>0</v>
      </c>
      <c r="X5" s="152"/>
      <c r="Y5" s="91">
        <f aca="true" t="shared" si="4" ref="Y5:Y18">(X5+X4)/2*B5</f>
        <v>0</v>
      </c>
      <c r="Z5" s="152"/>
      <c r="AA5" s="91">
        <f aca="true" t="shared" si="5" ref="AA5:AA18">(Z5+Z4)/2*B5</f>
        <v>0</v>
      </c>
      <c r="AB5" s="152"/>
      <c r="AC5" s="91">
        <f aca="true" t="shared" si="6" ref="AC5:AC18">(AB5+AB4)/2*B5</f>
        <v>0</v>
      </c>
      <c r="AD5" s="91">
        <f>AC5+AA5</f>
        <v>0</v>
      </c>
      <c r="AE5" s="65">
        <v>4.59726</v>
      </c>
      <c r="AF5" s="85">
        <f>SUM(AE4+AE5)/2*B5</f>
        <v>151.70958000000002</v>
      </c>
      <c r="AG5" s="65">
        <v>8.84982</v>
      </c>
      <c r="AH5" s="85">
        <f>SUM(AG4+AG5)/2*B5</f>
        <v>292.04406</v>
      </c>
      <c r="AI5" s="85"/>
    </row>
    <row r="6" spans="1:35" ht="22.5" customHeight="1">
      <c r="A6" s="91" t="s">
        <v>669</v>
      </c>
      <c r="B6" s="91">
        <v>81</v>
      </c>
      <c r="C6" s="8">
        <v>0</v>
      </c>
      <c r="D6" s="8">
        <v>11.299997</v>
      </c>
      <c r="E6" s="115">
        <f aca="true" t="shared" si="7" ref="E6:E18">(C6+C5)/2*B6</f>
        <v>85.02833249999999</v>
      </c>
      <c r="F6" s="115">
        <f aca="true" t="shared" si="8" ref="F6:F18">(D6+D5)/2*B6</f>
        <v>646.355619</v>
      </c>
      <c r="G6" s="91">
        <f aca="true" t="shared" si="9" ref="G6:G18">(D6+D5+C6+C5)/2*B6</f>
        <v>731.3839515</v>
      </c>
      <c r="H6" s="152"/>
      <c r="I6" s="152"/>
      <c r="J6" s="152"/>
      <c r="K6" s="152"/>
      <c r="L6" s="115">
        <f aca="true" t="shared" si="10" ref="L6:L18">(H6+H5+I6+I5)/2*B6</f>
        <v>0</v>
      </c>
      <c r="M6" s="115">
        <f aca="true" t="shared" si="11" ref="M6:M18">SUM(J6+J5+K6+K5)/2*B6</f>
        <v>0</v>
      </c>
      <c r="N6" s="151">
        <f aca="true" t="shared" si="12" ref="N6:N18">(K6+K5+J6+J5+I6+I5+H5+H6)/2*B6</f>
        <v>0</v>
      </c>
      <c r="O6" s="151"/>
      <c r="P6" s="151"/>
      <c r="Q6" s="151">
        <f t="shared" si="0"/>
        <v>97.2</v>
      </c>
      <c r="R6" s="152"/>
      <c r="S6" s="91">
        <f t="shared" si="1"/>
        <v>0</v>
      </c>
      <c r="T6" s="152"/>
      <c r="U6" s="91">
        <f t="shared" si="2"/>
        <v>0</v>
      </c>
      <c r="V6" s="152"/>
      <c r="W6" s="91">
        <f t="shared" si="3"/>
        <v>0</v>
      </c>
      <c r="X6" s="152"/>
      <c r="Y6" s="91">
        <f t="shared" si="4"/>
        <v>0</v>
      </c>
      <c r="Z6" s="152"/>
      <c r="AA6" s="91">
        <f t="shared" si="5"/>
        <v>0</v>
      </c>
      <c r="AB6" s="152"/>
      <c r="AC6" s="91">
        <f t="shared" si="6"/>
        <v>0</v>
      </c>
      <c r="AD6" s="91">
        <f aca="true" t="shared" si="13" ref="AD6:AD18">AC6+AA6</f>
        <v>0</v>
      </c>
      <c r="AE6" s="65">
        <v>4.57874</v>
      </c>
      <c r="AF6" s="85">
        <f aca="true" t="shared" si="14" ref="AF6:AF18">SUM(AE5+AE6)/2*B6</f>
        <v>371.628</v>
      </c>
      <c r="AG6" s="65">
        <v>10.56526</v>
      </c>
      <c r="AH6" s="85">
        <f aca="true" t="shared" si="15" ref="AH6:AH18">SUM(AG5+AG6)/2*B6</f>
        <v>786.31074</v>
      </c>
      <c r="AI6" s="85"/>
    </row>
    <row r="7" spans="1:35" ht="22.5" customHeight="1">
      <c r="A7" s="151" t="s">
        <v>670</v>
      </c>
      <c r="B7" s="91">
        <f>2276-2230</f>
        <v>46</v>
      </c>
      <c r="C7" s="8">
        <v>0</v>
      </c>
      <c r="D7" s="8">
        <v>7.549015</v>
      </c>
      <c r="E7" s="115">
        <f t="shared" si="7"/>
        <v>0</v>
      </c>
      <c r="F7" s="115">
        <f t="shared" si="8"/>
        <v>433.527276</v>
      </c>
      <c r="G7" s="91">
        <f t="shared" si="9"/>
        <v>433.527276</v>
      </c>
      <c r="H7" s="152"/>
      <c r="I7" s="152"/>
      <c r="J7" s="152"/>
      <c r="K7" s="152"/>
      <c r="L7" s="115">
        <f t="shared" si="10"/>
        <v>0</v>
      </c>
      <c r="M7" s="115">
        <f t="shared" si="11"/>
        <v>0</v>
      </c>
      <c r="N7" s="151">
        <f t="shared" si="12"/>
        <v>0</v>
      </c>
      <c r="O7" s="151"/>
      <c r="P7" s="151"/>
      <c r="Q7" s="151">
        <f t="shared" si="0"/>
        <v>55.199999999999996</v>
      </c>
      <c r="R7" s="152"/>
      <c r="S7" s="91">
        <f t="shared" si="1"/>
        <v>0</v>
      </c>
      <c r="T7" s="152"/>
      <c r="U7" s="91">
        <f t="shared" si="2"/>
        <v>0</v>
      </c>
      <c r="V7" s="152"/>
      <c r="W7" s="91">
        <f t="shared" si="3"/>
        <v>0</v>
      </c>
      <c r="X7" s="152"/>
      <c r="Y7" s="91">
        <f t="shared" si="4"/>
        <v>0</v>
      </c>
      <c r="Z7" s="152"/>
      <c r="AA7" s="91">
        <f t="shared" si="5"/>
        <v>0</v>
      </c>
      <c r="AB7" s="152"/>
      <c r="AC7" s="91">
        <f t="shared" si="6"/>
        <v>0</v>
      </c>
      <c r="AD7" s="91">
        <f t="shared" si="13"/>
        <v>0</v>
      </c>
      <c r="AE7" s="65">
        <v>7.57903</v>
      </c>
      <c r="AF7" s="85">
        <f t="shared" si="14"/>
        <v>279.62870999999996</v>
      </c>
      <c r="AG7" s="65">
        <v>10.01641</v>
      </c>
      <c r="AH7" s="85">
        <f t="shared" si="15"/>
        <v>473.37841000000003</v>
      </c>
      <c r="AI7" s="85"/>
    </row>
    <row r="8" spans="1:35" ht="22.5" customHeight="1">
      <c r="A8" s="91" t="s">
        <v>671</v>
      </c>
      <c r="B8" s="91">
        <f>2322-2276</f>
        <v>46</v>
      </c>
      <c r="C8" s="91">
        <v>6.507773</v>
      </c>
      <c r="D8" s="91">
        <v>18.466445</v>
      </c>
      <c r="E8" s="115">
        <f t="shared" si="7"/>
        <v>149.67877900000002</v>
      </c>
      <c r="F8" s="115">
        <f t="shared" si="8"/>
        <v>598.35558</v>
      </c>
      <c r="G8" s="91">
        <f t="shared" si="9"/>
        <v>748.0343590000001</v>
      </c>
      <c r="H8" s="91">
        <v>0.519484</v>
      </c>
      <c r="I8" s="91">
        <v>0.75</v>
      </c>
      <c r="J8" s="91">
        <v>0.75</v>
      </c>
      <c r="K8" s="91">
        <v>0.519484</v>
      </c>
      <c r="L8" s="115">
        <f t="shared" si="10"/>
        <v>29.198131999999998</v>
      </c>
      <c r="M8" s="115">
        <f t="shared" si="11"/>
        <v>29.198131999999998</v>
      </c>
      <c r="N8" s="151">
        <f t="shared" si="12"/>
        <v>58.396263999999995</v>
      </c>
      <c r="O8" s="151">
        <f>0.6*B8</f>
        <v>27.599999999999998</v>
      </c>
      <c r="P8" s="151">
        <f>SUM(B8*0.6)</f>
        <v>27.599999999999998</v>
      </c>
      <c r="Q8" s="151">
        <f t="shared" si="0"/>
        <v>55.199999999999996</v>
      </c>
      <c r="R8" s="91">
        <v>2.166236</v>
      </c>
      <c r="S8" s="91">
        <f t="shared" si="1"/>
        <v>49.823428</v>
      </c>
      <c r="T8" s="91">
        <v>1.596755</v>
      </c>
      <c r="U8" s="91">
        <f t="shared" si="2"/>
        <v>36.725365</v>
      </c>
      <c r="V8" s="91">
        <v>1.300187</v>
      </c>
      <c r="W8" s="91">
        <f t="shared" si="3"/>
        <v>29.904301</v>
      </c>
      <c r="X8" s="91">
        <v>0.958498</v>
      </c>
      <c r="Y8" s="91">
        <f t="shared" si="4"/>
        <v>22.045454</v>
      </c>
      <c r="Z8" s="91">
        <v>9.86902</v>
      </c>
      <c r="AA8" s="91">
        <f t="shared" si="5"/>
        <v>226.98746000000003</v>
      </c>
      <c r="AB8" s="91">
        <v>7.5911</v>
      </c>
      <c r="AC8" s="91">
        <f t="shared" si="6"/>
        <v>174.5953</v>
      </c>
      <c r="AD8" s="91">
        <f t="shared" si="13"/>
        <v>401.58276</v>
      </c>
      <c r="AE8" s="148">
        <v>4.2121</v>
      </c>
      <c r="AF8" s="85">
        <f t="shared" si="14"/>
        <v>271.19599</v>
      </c>
      <c r="AG8" s="65">
        <v>11.40801</v>
      </c>
      <c r="AH8" s="85">
        <f t="shared" si="15"/>
        <v>492.76166</v>
      </c>
      <c r="AI8" s="85"/>
    </row>
    <row r="9" spans="1:35" ht="22.5" customHeight="1">
      <c r="A9" s="91" t="s">
        <v>672</v>
      </c>
      <c r="B9" s="91">
        <v>91</v>
      </c>
      <c r="C9" s="91">
        <v>1.162852</v>
      </c>
      <c r="D9" s="91">
        <v>21.967186</v>
      </c>
      <c r="E9" s="115">
        <f t="shared" si="7"/>
        <v>349.0134375</v>
      </c>
      <c r="F9" s="115">
        <f t="shared" si="8"/>
        <v>1839.7302105000003</v>
      </c>
      <c r="G9" s="91">
        <f t="shared" si="9"/>
        <v>2188.743648</v>
      </c>
      <c r="H9" s="91">
        <v>0.519484</v>
      </c>
      <c r="I9" s="91">
        <v>0.75</v>
      </c>
      <c r="J9" s="91">
        <v>0.75</v>
      </c>
      <c r="K9" s="91">
        <v>0.519484</v>
      </c>
      <c r="L9" s="115">
        <f t="shared" si="10"/>
        <v>115.52304399999998</v>
      </c>
      <c r="M9" s="115">
        <f t="shared" si="11"/>
        <v>115.52304399999998</v>
      </c>
      <c r="N9" s="151">
        <f t="shared" si="12"/>
        <v>231.046088</v>
      </c>
      <c r="O9" s="151">
        <f>0.6*B9</f>
        <v>54.6</v>
      </c>
      <c r="P9" s="151">
        <f>SUM(B9*0.6)</f>
        <v>54.6</v>
      </c>
      <c r="Q9" s="151">
        <f t="shared" si="0"/>
        <v>109.2</v>
      </c>
      <c r="R9" s="91">
        <v>1.925923</v>
      </c>
      <c r="S9" s="91">
        <f t="shared" si="1"/>
        <v>186.19323450000002</v>
      </c>
      <c r="T9" s="91">
        <v>1.925923</v>
      </c>
      <c r="U9" s="91">
        <f t="shared" si="2"/>
        <v>160.281849</v>
      </c>
      <c r="V9" s="91">
        <v>1.155999</v>
      </c>
      <c r="W9" s="91">
        <f t="shared" si="3"/>
        <v>111.75646299999998</v>
      </c>
      <c r="X9" s="91">
        <v>1.155999</v>
      </c>
      <c r="Y9" s="91">
        <f t="shared" si="4"/>
        <v>96.2096135</v>
      </c>
      <c r="Z9" s="91">
        <v>8.90777</v>
      </c>
      <c r="AA9" s="91">
        <f t="shared" si="5"/>
        <v>854.343945</v>
      </c>
      <c r="AB9" s="91">
        <v>8.90777</v>
      </c>
      <c r="AC9" s="91">
        <f t="shared" si="6"/>
        <v>750.698585</v>
      </c>
      <c r="AD9" s="91">
        <f t="shared" si="13"/>
        <v>1605.04253</v>
      </c>
      <c r="AE9" s="65">
        <v>10.33379</v>
      </c>
      <c r="AF9" s="85">
        <f t="shared" si="14"/>
        <v>661.837995</v>
      </c>
      <c r="AG9" s="65">
        <v>12.82806</v>
      </c>
      <c r="AH9" s="85">
        <f t="shared" si="15"/>
        <v>1102.741185</v>
      </c>
      <c r="AI9" s="85"/>
    </row>
    <row r="10" spans="1:35" ht="22.5" customHeight="1">
      <c r="A10" s="91" t="s">
        <v>673</v>
      </c>
      <c r="B10" s="91">
        <v>111</v>
      </c>
      <c r="C10" s="91">
        <v>7.845671</v>
      </c>
      <c r="D10" s="91">
        <v>22.898574</v>
      </c>
      <c r="E10" s="115">
        <f t="shared" si="7"/>
        <v>499.9730265</v>
      </c>
      <c r="F10" s="115">
        <f t="shared" si="8"/>
        <v>2490.04968</v>
      </c>
      <c r="G10" s="91">
        <f t="shared" si="9"/>
        <v>2990.0227065000004</v>
      </c>
      <c r="H10" s="91">
        <v>0.519484</v>
      </c>
      <c r="I10" s="91">
        <v>0.75</v>
      </c>
      <c r="J10" s="91">
        <v>0.75</v>
      </c>
      <c r="K10" s="91">
        <v>0.519484</v>
      </c>
      <c r="L10" s="115">
        <f t="shared" si="10"/>
        <v>140.91272399999997</v>
      </c>
      <c r="M10" s="115">
        <f t="shared" si="11"/>
        <v>140.91272399999997</v>
      </c>
      <c r="N10" s="151">
        <f t="shared" si="12"/>
        <v>281.825448</v>
      </c>
      <c r="O10" s="151">
        <f aca="true" t="shared" si="16" ref="O10:O18">0.6*B10</f>
        <v>66.6</v>
      </c>
      <c r="P10" s="151">
        <f>SUM(B10*0.6)</f>
        <v>66.6</v>
      </c>
      <c r="Q10" s="151">
        <f t="shared" si="0"/>
        <v>133.2</v>
      </c>
      <c r="R10" s="91">
        <v>1.915078</v>
      </c>
      <c r="S10" s="91">
        <f t="shared" si="1"/>
        <v>213.17555550000003</v>
      </c>
      <c r="T10" s="91">
        <v>1.974793</v>
      </c>
      <c r="U10" s="91">
        <f t="shared" si="2"/>
        <v>216.48973800000002</v>
      </c>
      <c r="V10" s="91">
        <v>1.150521</v>
      </c>
      <c r="W10" s="91">
        <f t="shared" si="3"/>
        <v>128.01185999999998</v>
      </c>
      <c r="X10" s="91">
        <v>1.198498</v>
      </c>
      <c r="Y10" s="91">
        <f t="shared" si="4"/>
        <v>130.6745835</v>
      </c>
      <c r="Z10" s="91">
        <v>8.86333</v>
      </c>
      <c r="AA10" s="91">
        <f t="shared" si="5"/>
        <v>986.2960499999998</v>
      </c>
      <c r="AB10" s="91">
        <v>9.07244</v>
      </c>
      <c r="AC10" s="91">
        <f t="shared" si="6"/>
        <v>997.901655</v>
      </c>
      <c r="AD10" s="91">
        <f t="shared" si="13"/>
        <v>1984.1977049999998</v>
      </c>
      <c r="AE10" s="65">
        <v>2.93858</v>
      </c>
      <c r="AF10" s="85">
        <f t="shared" si="14"/>
        <v>736.616535</v>
      </c>
      <c r="AG10" s="65">
        <v>11.67019</v>
      </c>
      <c r="AH10" s="85">
        <f t="shared" si="15"/>
        <v>1359.652875</v>
      </c>
      <c r="AI10" s="85"/>
    </row>
    <row r="11" spans="1:35" ht="22.5" customHeight="1">
      <c r="A11" s="91" t="s">
        <v>674</v>
      </c>
      <c r="B11" s="91">
        <v>106</v>
      </c>
      <c r="C11" s="91">
        <v>19.829378</v>
      </c>
      <c r="D11" s="91">
        <v>18.130988</v>
      </c>
      <c r="E11" s="115">
        <f t="shared" si="7"/>
        <v>1466.7775969999998</v>
      </c>
      <c r="F11" s="115">
        <f t="shared" si="8"/>
        <v>2174.566786</v>
      </c>
      <c r="G11" s="91">
        <f t="shared" si="9"/>
        <v>3641.344383</v>
      </c>
      <c r="H11" s="91">
        <v>0.519484</v>
      </c>
      <c r="I11" s="91">
        <v>0.75</v>
      </c>
      <c r="J11" s="91">
        <v>0.75</v>
      </c>
      <c r="K11" s="91">
        <v>0.519484</v>
      </c>
      <c r="L11" s="115">
        <f t="shared" si="10"/>
        <v>134.56530399999997</v>
      </c>
      <c r="M11" s="115">
        <f t="shared" si="11"/>
        <v>134.56530399999997</v>
      </c>
      <c r="N11" s="151">
        <f t="shared" si="12"/>
        <v>269.130608</v>
      </c>
      <c r="O11" s="151">
        <f t="shared" si="16"/>
        <v>63.599999999999994</v>
      </c>
      <c r="P11" s="151">
        <f aca="true" t="shared" si="17" ref="P11:P18">SUM(B11*0.6)</f>
        <v>63.599999999999994</v>
      </c>
      <c r="Q11" s="151">
        <f t="shared" si="0"/>
        <v>127.19999999999999</v>
      </c>
      <c r="R11" s="91">
        <v>2.290713</v>
      </c>
      <c r="S11" s="91">
        <f t="shared" si="1"/>
        <v>222.90692300000003</v>
      </c>
      <c r="T11" s="91">
        <v>1.894588</v>
      </c>
      <c r="U11" s="91">
        <f t="shared" si="2"/>
        <v>205.077193</v>
      </c>
      <c r="V11" s="91">
        <v>1.374873</v>
      </c>
      <c r="W11" s="91">
        <f t="shared" si="3"/>
        <v>133.845882</v>
      </c>
      <c r="X11" s="91">
        <v>1.137198</v>
      </c>
      <c r="Y11" s="91">
        <f t="shared" si="4"/>
        <v>123.791888</v>
      </c>
      <c r="Z11" s="91">
        <v>10.33612</v>
      </c>
      <c r="AA11" s="91">
        <f t="shared" si="5"/>
        <v>1017.57085</v>
      </c>
      <c r="AB11" s="91">
        <v>8.75162</v>
      </c>
      <c r="AC11" s="91">
        <f t="shared" si="6"/>
        <v>944.6751800000002</v>
      </c>
      <c r="AD11" s="91">
        <f t="shared" si="13"/>
        <v>1962.2460300000002</v>
      </c>
      <c r="AE11" s="148">
        <v>7.7708</v>
      </c>
      <c r="AF11" s="85">
        <f t="shared" si="14"/>
        <v>567.59714</v>
      </c>
      <c r="AG11" s="65">
        <v>10.62383</v>
      </c>
      <c r="AH11" s="85">
        <f t="shared" si="15"/>
        <v>1181.58306</v>
      </c>
      <c r="AI11" s="85"/>
    </row>
    <row r="12" spans="1:35" ht="22.5" customHeight="1">
      <c r="A12" s="152" t="s">
        <v>675</v>
      </c>
      <c r="B12" s="91">
        <v>80</v>
      </c>
      <c r="C12" s="91">
        <v>5.224382</v>
      </c>
      <c r="D12" s="91">
        <v>15.861372</v>
      </c>
      <c r="E12" s="115">
        <f t="shared" si="7"/>
        <v>1002.1503999999999</v>
      </c>
      <c r="F12" s="115">
        <f t="shared" si="8"/>
        <v>1359.6943999999999</v>
      </c>
      <c r="G12" s="91">
        <f t="shared" si="9"/>
        <v>2361.8448</v>
      </c>
      <c r="H12" s="91">
        <v>0.519484</v>
      </c>
      <c r="I12" s="91">
        <v>0.75</v>
      </c>
      <c r="J12" s="91">
        <v>0.75</v>
      </c>
      <c r="K12" s="91">
        <v>0.519484</v>
      </c>
      <c r="L12" s="115">
        <f t="shared" si="10"/>
        <v>101.55872</v>
      </c>
      <c r="M12" s="115">
        <f t="shared" si="11"/>
        <v>101.55872</v>
      </c>
      <c r="N12" s="151">
        <f t="shared" si="12"/>
        <v>203.11744000000002</v>
      </c>
      <c r="O12" s="151">
        <f t="shared" si="16"/>
        <v>48</v>
      </c>
      <c r="P12" s="151">
        <f t="shared" si="17"/>
        <v>48</v>
      </c>
      <c r="Q12" s="151">
        <f t="shared" si="0"/>
        <v>96</v>
      </c>
      <c r="R12" s="91">
        <v>1.966122</v>
      </c>
      <c r="S12" s="91">
        <f t="shared" si="1"/>
        <v>170.27340000000004</v>
      </c>
      <c r="T12" s="91">
        <v>2.117321</v>
      </c>
      <c r="U12" s="91">
        <f t="shared" si="2"/>
        <v>160.47636</v>
      </c>
      <c r="V12" s="91">
        <v>1.184908</v>
      </c>
      <c r="W12" s="91">
        <f t="shared" si="3"/>
        <v>102.39124000000001</v>
      </c>
      <c r="X12" s="91">
        <v>1.270837</v>
      </c>
      <c r="Y12" s="91">
        <f t="shared" si="4"/>
        <v>96.3214</v>
      </c>
      <c r="Z12" s="91">
        <v>9.56924</v>
      </c>
      <c r="AA12" s="91">
        <f t="shared" si="5"/>
        <v>796.2144000000001</v>
      </c>
      <c r="AB12" s="91">
        <v>9.64255</v>
      </c>
      <c r="AC12" s="91">
        <f t="shared" si="6"/>
        <v>735.7668000000001</v>
      </c>
      <c r="AD12" s="91">
        <f t="shared" si="13"/>
        <v>1531.9812000000002</v>
      </c>
      <c r="AE12" s="65">
        <v>1.00619</v>
      </c>
      <c r="AF12" s="85">
        <f t="shared" si="14"/>
        <v>351.07959999999997</v>
      </c>
      <c r="AG12" s="65">
        <v>10.15466</v>
      </c>
      <c r="AH12" s="85">
        <f t="shared" si="15"/>
        <v>831.1396</v>
      </c>
      <c r="AI12" s="85"/>
    </row>
    <row r="13" spans="1:35" ht="22.5" customHeight="1">
      <c r="A13" s="91" t="s">
        <v>676</v>
      </c>
      <c r="B13" s="91">
        <v>124</v>
      </c>
      <c r="C13" s="91">
        <v>6.3972</v>
      </c>
      <c r="D13" s="91">
        <v>21.435191</v>
      </c>
      <c r="E13" s="115">
        <f t="shared" si="7"/>
        <v>720.538084</v>
      </c>
      <c r="F13" s="115">
        <f t="shared" si="8"/>
        <v>2312.3869059999997</v>
      </c>
      <c r="G13" s="91">
        <f t="shared" si="9"/>
        <v>3032.9249899999995</v>
      </c>
      <c r="H13" s="91">
        <v>0.519484</v>
      </c>
      <c r="I13" s="91">
        <v>0.75</v>
      </c>
      <c r="J13" s="91">
        <v>0.75</v>
      </c>
      <c r="K13" s="91">
        <v>0.519484</v>
      </c>
      <c r="L13" s="115">
        <f t="shared" si="10"/>
        <v>157.41601599999998</v>
      </c>
      <c r="M13" s="115">
        <f t="shared" si="11"/>
        <v>157.41601599999998</v>
      </c>
      <c r="N13" s="151">
        <f t="shared" si="12"/>
        <v>314.832032</v>
      </c>
      <c r="O13" s="151">
        <f t="shared" si="16"/>
        <v>74.39999999999999</v>
      </c>
      <c r="P13" s="151">
        <f t="shared" si="17"/>
        <v>74.39999999999999</v>
      </c>
      <c r="Q13" s="151">
        <f t="shared" si="0"/>
        <v>148.79999999999998</v>
      </c>
      <c r="R13" s="91">
        <v>1.596479</v>
      </c>
      <c r="S13" s="91">
        <f t="shared" si="1"/>
        <v>220.881262</v>
      </c>
      <c r="T13" s="91">
        <v>1.802737</v>
      </c>
      <c r="U13" s="91">
        <f t="shared" si="2"/>
        <v>243.043596</v>
      </c>
      <c r="V13" s="91">
        <v>0.958342</v>
      </c>
      <c r="W13" s="91">
        <f t="shared" si="3"/>
        <v>132.88150000000002</v>
      </c>
      <c r="X13" s="91">
        <v>1.082087</v>
      </c>
      <c r="Y13" s="91">
        <f t="shared" si="4"/>
        <v>145.88128799999998</v>
      </c>
      <c r="Z13" s="91">
        <v>7.56029</v>
      </c>
      <c r="AA13" s="91">
        <f t="shared" si="5"/>
        <v>1062.03086</v>
      </c>
      <c r="AB13" s="91">
        <v>8.38422</v>
      </c>
      <c r="AC13" s="91">
        <f t="shared" si="6"/>
        <v>1117.65974</v>
      </c>
      <c r="AD13" s="91">
        <f t="shared" si="13"/>
        <v>2179.6906</v>
      </c>
      <c r="AE13" s="65">
        <v>12.62742</v>
      </c>
      <c r="AF13" s="85">
        <f t="shared" si="14"/>
        <v>845.2838200000001</v>
      </c>
      <c r="AG13" s="65">
        <v>8.78275</v>
      </c>
      <c r="AH13" s="85">
        <f t="shared" si="15"/>
        <v>1174.11942</v>
      </c>
      <c r="AI13" s="85"/>
    </row>
    <row r="14" spans="1:35" ht="22.5" customHeight="1">
      <c r="A14" s="91" t="s">
        <v>677</v>
      </c>
      <c r="B14" s="91">
        <v>136</v>
      </c>
      <c r="C14" s="91">
        <v>23.480188</v>
      </c>
      <c r="D14" s="91">
        <v>14.8168</v>
      </c>
      <c r="E14" s="115">
        <f t="shared" si="7"/>
        <v>2031.6623839999997</v>
      </c>
      <c r="F14" s="115">
        <f t="shared" si="8"/>
        <v>2465.135388</v>
      </c>
      <c r="G14" s="91">
        <f t="shared" si="9"/>
        <v>4496.797772</v>
      </c>
      <c r="H14" s="91">
        <v>0.519484</v>
      </c>
      <c r="I14" s="91">
        <v>0.75</v>
      </c>
      <c r="J14" s="91">
        <v>0.75</v>
      </c>
      <c r="K14" s="91">
        <v>0.519484</v>
      </c>
      <c r="L14" s="115">
        <f t="shared" si="10"/>
        <v>172.64982399999997</v>
      </c>
      <c r="M14" s="115">
        <f t="shared" si="11"/>
        <v>172.64982399999997</v>
      </c>
      <c r="N14" s="151">
        <f t="shared" si="12"/>
        <v>345.299648</v>
      </c>
      <c r="O14" s="151">
        <f t="shared" si="16"/>
        <v>81.6</v>
      </c>
      <c r="P14" s="151">
        <f t="shared" si="17"/>
        <v>81.6</v>
      </c>
      <c r="Q14" s="151">
        <f t="shared" si="0"/>
        <v>163.2</v>
      </c>
      <c r="R14" s="91">
        <v>1.162576</v>
      </c>
      <c r="S14" s="91">
        <f t="shared" si="1"/>
        <v>187.61574000000002</v>
      </c>
      <c r="T14" s="91">
        <v>1.75831</v>
      </c>
      <c r="U14" s="91">
        <f t="shared" si="2"/>
        <v>242.15119600000003</v>
      </c>
      <c r="V14" s="91">
        <v>0.697991</v>
      </c>
      <c r="W14" s="91">
        <f t="shared" si="3"/>
        <v>112.630644</v>
      </c>
      <c r="X14" s="91">
        <v>1.055431</v>
      </c>
      <c r="Y14" s="91">
        <f t="shared" si="4"/>
        <v>145.351224</v>
      </c>
      <c r="Z14" s="91">
        <v>5.82357</v>
      </c>
      <c r="AA14" s="91">
        <f t="shared" si="5"/>
        <v>910.10248</v>
      </c>
      <c r="AB14" s="91">
        <v>8.20651</v>
      </c>
      <c r="AC14" s="91">
        <f t="shared" si="6"/>
        <v>1128.16964</v>
      </c>
      <c r="AD14" s="91">
        <f t="shared" si="13"/>
        <v>2038.27212</v>
      </c>
      <c r="AE14" s="65">
        <v>12.44031</v>
      </c>
      <c r="AF14" s="85">
        <f t="shared" si="14"/>
        <v>1704.60564</v>
      </c>
      <c r="AG14" s="65">
        <v>8.50856</v>
      </c>
      <c r="AH14" s="85">
        <f t="shared" si="15"/>
        <v>1175.80908</v>
      </c>
      <c r="AI14" s="85"/>
    </row>
    <row r="15" spans="1:35" ht="22.5" customHeight="1">
      <c r="A15" s="91" t="s">
        <v>678</v>
      </c>
      <c r="B15" s="91">
        <v>145</v>
      </c>
      <c r="C15" s="91">
        <v>2.717737</v>
      </c>
      <c r="D15" s="91">
        <v>4.607844</v>
      </c>
      <c r="E15" s="115">
        <f t="shared" si="7"/>
        <v>1899.3495624999998</v>
      </c>
      <c r="F15" s="115">
        <f t="shared" si="8"/>
        <v>1408.2866900000001</v>
      </c>
      <c r="G15" s="91">
        <f t="shared" si="9"/>
        <v>3307.6362525</v>
      </c>
      <c r="H15" s="91">
        <v>0.519484</v>
      </c>
      <c r="I15" s="91">
        <v>0.75</v>
      </c>
      <c r="J15" s="91">
        <v>0.75</v>
      </c>
      <c r="K15" s="91">
        <v>0.519484</v>
      </c>
      <c r="L15" s="115">
        <f t="shared" si="10"/>
        <v>184.07518</v>
      </c>
      <c r="M15" s="115">
        <f t="shared" si="11"/>
        <v>184.07518</v>
      </c>
      <c r="N15" s="151">
        <f t="shared" si="12"/>
        <v>368.15036000000003</v>
      </c>
      <c r="O15" s="151">
        <f t="shared" si="16"/>
        <v>87</v>
      </c>
      <c r="P15" s="151">
        <f t="shared" si="17"/>
        <v>87</v>
      </c>
      <c r="Q15" s="151">
        <f t="shared" si="0"/>
        <v>174</v>
      </c>
      <c r="R15" s="91">
        <v>1.346345</v>
      </c>
      <c r="S15" s="91">
        <f t="shared" si="1"/>
        <v>181.8967725</v>
      </c>
      <c r="T15" s="91">
        <v>1.75831</v>
      </c>
      <c r="U15" s="91">
        <f t="shared" si="2"/>
        <v>254.95495</v>
      </c>
      <c r="V15" s="91">
        <v>0.808252</v>
      </c>
      <c r="W15" s="91">
        <f t="shared" si="3"/>
        <v>109.2026175</v>
      </c>
      <c r="X15" s="91">
        <v>1.055431</v>
      </c>
      <c r="Y15" s="91">
        <f t="shared" si="4"/>
        <v>153.037495</v>
      </c>
      <c r="Z15" s="91">
        <v>6.55865</v>
      </c>
      <c r="AA15" s="91">
        <f t="shared" si="5"/>
        <v>897.71095</v>
      </c>
      <c r="AB15" s="91">
        <v>8.20651</v>
      </c>
      <c r="AC15" s="91">
        <f t="shared" si="6"/>
        <v>1189.9439499999999</v>
      </c>
      <c r="AD15" s="91">
        <f t="shared" si="13"/>
        <v>2087.6549</v>
      </c>
      <c r="AE15" s="65">
        <v>9.6167</v>
      </c>
      <c r="AF15" s="85">
        <f t="shared" si="14"/>
        <v>1599.1332249999998</v>
      </c>
      <c r="AG15" s="65">
        <v>7.8121</v>
      </c>
      <c r="AH15" s="85">
        <f t="shared" si="15"/>
        <v>1183.24785</v>
      </c>
      <c r="AI15" s="85"/>
    </row>
    <row r="16" spans="1:35" ht="22.5" customHeight="1">
      <c r="A16" s="91" t="s">
        <v>679</v>
      </c>
      <c r="B16" s="91">
        <v>78</v>
      </c>
      <c r="C16" s="91">
        <v>5.028892</v>
      </c>
      <c r="D16" s="91">
        <v>13.484487</v>
      </c>
      <c r="E16" s="115">
        <f t="shared" si="7"/>
        <v>302.118531</v>
      </c>
      <c r="F16" s="115">
        <f t="shared" si="8"/>
        <v>705.600909</v>
      </c>
      <c r="G16" s="91">
        <f t="shared" si="9"/>
        <v>1007.71944</v>
      </c>
      <c r="H16" s="91">
        <v>0.519484</v>
      </c>
      <c r="I16" s="91">
        <v>0.75</v>
      </c>
      <c r="J16" s="91">
        <v>0.75</v>
      </c>
      <c r="K16" s="91">
        <v>0.519484</v>
      </c>
      <c r="L16" s="115">
        <f t="shared" si="10"/>
        <v>99.01975199999998</v>
      </c>
      <c r="M16" s="115">
        <f t="shared" si="11"/>
        <v>99.01975199999998</v>
      </c>
      <c r="N16" s="151">
        <f t="shared" si="12"/>
        <v>198.03950400000002</v>
      </c>
      <c r="O16" s="151">
        <f t="shared" si="16"/>
        <v>46.8</v>
      </c>
      <c r="P16" s="151">
        <f t="shared" si="17"/>
        <v>46.8</v>
      </c>
      <c r="Q16" s="151">
        <f t="shared" si="0"/>
        <v>93.6</v>
      </c>
      <c r="R16" s="91">
        <v>1.75831</v>
      </c>
      <c r="S16" s="91">
        <f t="shared" si="1"/>
        <v>121.081545</v>
      </c>
      <c r="T16" s="91">
        <v>1.719526</v>
      </c>
      <c r="U16" s="91">
        <f t="shared" si="2"/>
        <v>135.635604</v>
      </c>
      <c r="V16" s="91">
        <v>1.055431</v>
      </c>
      <c r="W16" s="91">
        <f t="shared" si="3"/>
        <v>72.683637</v>
      </c>
      <c r="X16" s="91">
        <v>1.032161</v>
      </c>
      <c r="Y16" s="91">
        <f t="shared" si="4"/>
        <v>81.416088</v>
      </c>
      <c r="Z16" s="91">
        <v>8.20651</v>
      </c>
      <c r="AA16" s="91">
        <f t="shared" si="5"/>
        <v>575.84124</v>
      </c>
      <c r="AB16" s="91">
        <v>8.05137</v>
      </c>
      <c r="AC16" s="91">
        <f t="shared" si="6"/>
        <v>634.05732</v>
      </c>
      <c r="AD16" s="91">
        <f t="shared" si="13"/>
        <v>1209.89856</v>
      </c>
      <c r="AE16" s="65">
        <v>8.30392</v>
      </c>
      <c r="AF16" s="85">
        <f t="shared" si="14"/>
        <v>698.90418</v>
      </c>
      <c r="AG16" s="65">
        <v>9.09874</v>
      </c>
      <c r="AH16" s="85">
        <f t="shared" si="15"/>
        <v>659.5227600000001</v>
      </c>
      <c r="AI16" s="85"/>
    </row>
    <row r="17" spans="1:35" ht="22.5" customHeight="1">
      <c r="A17" s="91" t="s">
        <v>680</v>
      </c>
      <c r="B17" s="91">
        <v>155</v>
      </c>
      <c r="C17" s="91">
        <v>4.729801</v>
      </c>
      <c r="D17" s="91">
        <v>8.1548</v>
      </c>
      <c r="E17" s="115">
        <f t="shared" si="7"/>
        <v>756.2987075000001</v>
      </c>
      <c r="F17" s="115">
        <f t="shared" si="8"/>
        <v>1677.0447425</v>
      </c>
      <c r="G17" s="91">
        <f t="shared" si="9"/>
        <v>2433.34345</v>
      </c>
      <c r="H17" s="91">
        <v>0.519484</v>
      </c>
      <c r="I17" s="91">
        <v>0.75</v>
      </c>
      <c r="J17" s="91">
        <v>0.75</v>
      </c>
      <c r="K17" s="91">
        <v>0.519484</v>
      </c>
      <c r="L17" s="115">
        <f t="shared" si="10"/>
        <v>196.77002</v>
      </c>
      <c r="M17" s="115">
        <f t="shared" si="11"/>
        <v>196.77002</v>
      </c>
      <c r="N17" s="151">
        <f t="shared" si="12"/>
        <v>393.54004000000003</v>
      </c>
      <c r="O17" s="151">
        <f t="shared" si="16"/>
        <v>93</v>
      </c>
      <c r="P17" s="151">
        <f t="shared" si="17"/>
        <v>93</v>
      </c>
      <c r="Q17" s="151">
        <f t="shared" si="0"/>
        <v>186</v>
      </c>
      <c r="R17" s="91">
        <v>1.966177</v>
      </c>
      <c r="S17" s="91">
        <f t="shared" si="1"/>
        <v>288.6477425</v>
      </c>
      <c r="T17" s="91">
        <v>1.596755</v>
      </c>
      <c r="U17" s="91">
        <f t="shared" si="2"/>
        <v>257.0117775</v>
      </c>
      <c r="V17" s="91">
        <v>1.180151</v>
      </c>
      <c r="W17" s="91">
        <f t="shared" si="3"/>
        <v>173.25760499999998</v>
      </c>
      <c r="X17" s="91">
        <v>0.958498</v>
      </c>
      <c r="Y17" s="91">
        <f t="shared" si="4"/>
        <v>154.2760725</v>
      </c>
      <c r="Z17" s="91">
        <v>9.03797</v>
      </c>
      <c r="AA17" s="91">
        <f t="shared" si="5"/>
        <v>1336.4471999999998</v>
      </c>
      <c r="AB17" s="91">
        <v>7.56029</v>
      </c>
      <c r="AC17" s="91">
        <f t="shared" si="6"/>
        <v>1209.90365</v>
      </c>
      <c r="AD17" s="91">
        <f t="shared" si="13"/>
        <v>2546.35085</v>
      </c>
      <c r="AE17" s="65">
        <v>6.68211</v>
      </c>
      <c r="AF17" s="85">
        <f t="shared" si="14"/>
        <v>1161.417325</v>
      </c>
      <c r="AG17" s="65">
        <v>6.85531</v>
      </c>
      <c r="AH17" s="85">
        <f t="shared" si="15"/>
        <v>1236.4388749999998</v>
      </c>
      <c r="AI17" s="85"/>
    </row>
    <row r="18" spans="1:35" ht="22.5" customHeight="1">
      <c r="A18" s="153" t="s">
        <v>681</v>
      </c>
      <c r="B18" s="153">
        <v>132</v>
      </c>
      <c r="C18" s="153">
        <v>25.725209</v>
      </c>
      <c r="D18" s="153">
        <v>11.398167</v>
      </c>
      <c r="E18" s="115">
        <f t="shared" si="7"/>
        <v>2010.0306600000001</v>
      </c>
      <c r="F18" s="115">
        <f t="shared" si="8"/>
        <v>1290.495822</v>
      </c>
      <c r="G18" s="153">
        <f t="shared" si="9"/>
        <v>3300.526482</v>
      </c>
      <c r="H18" s="153">
        <v>0.519484</v>
      </c>
      <c r="I18" s="153">
        <v>0.75</v>
      </c>
      <c r="J18" s="153">
        <v>0.75</v>
      </c>
      <c r="K18" s="153">
        <v>0.519484</v>
      </c>
      <c r="L18" s="115">
        <f t="shared" si="10"/>
        <v>167.57188799999997</v>
      </c>
      <c r="M18" s="115">
        <f t="shared" si="11"/>
        <v>167.57188799999997</v>
      </c>
      <c r="N18" s="172">
        <f t="shared" si="12"/>
        <v>335.143776</v>
      </c>
      <c r="O18" s="151">
        <f t="shared" si="16"/>
        <v>79.2</v>
      </c>
      <c r="P18" s="151">
        <f t="shared" si="17"/>
        <v>79.2</v>
      </c>
      <c r="Q18" s="172">
        <f t="shared" si="0"/>
        <v>158.4</v>
      </c>
      <c r="R18" s="153">
        <v>1.966177</v>
      </c>
      <c r="S18" s="153">
        <f t="shared" si="1"/>
        <v>259.535364</v>
      </c>
      <c r="T18" s="153">
        <v>1.596755</v>
      </c>
      <c r="U18" s="153">
        <f t="shared" si="2"/>
        <v>210.77166</v>
      </c>
      <c r="V18" s="153">
        <v>1.180151</v>
      </c>
      <c r="W18" s="153">
        <f t="shared" si="3"/>
        <v>155.779932</v>
      </c>
      <c r="X18" s="153">
        <v>0.958498</v>
      </c>
      <c r="Y18" s="153">
        <f t="shared" si="4"/>
        <v>126.52173599999999</v>
      </c>
      <c r="Z18" s="153">
        <v>9.03797</v>
      </c>
      <c r="AA18" s="153">
        <f t="shared" si="5"/>
        <v>1193.0120399999998</v>
      </c>
      <c r="AB18" s="153">
        <v>7.56029</v>
      </c>
      <c r="AC18" s="153">
        <f t="shared" si="6"/>
        <v>997.9582800000001</v>
      </c>
      <c r="AD18" s="153">
        <f t="shared" si="13"/>
        <v>2190.97032</v>
      </c>
      <c r="AE18" s="65">
        <v>6.68211</v>
      </c>
      <c r="AF18" s="85">
        <f t="shared" si="14"/>
        <v>882.03852</v>
      </c>
      <c r="AG18" s="65">
        <v>6.85531</v>
      </c>
      <c r="AH18" s="85">
        <f t="shared" si="15"/>
        <v>904.90092</v>
      </c>
      <c r="AI18" s="85"/>
    </row>
    <row r="19" spans="1:35" ht="22.5" customHeight="1">
      <c r="A19" s="106">
        <f>3480-2116</f>
        <v>1364</v>
      </c>
      <c r="B19" s="96">
        <f>SUM(B4:B18)</f>
        <v>1364</v>
      </c>
      <c r="C19" s="96"/>
      <c r="D19" s="96"/>
      <c r="E19" s="115">
        <f>SUM(E5:E18)</f>
        <v>11341.901846499999</v>
      </c>
      <c r="F19" s="115">
        <f>SUM(F5:F18)</f>
        <v>19554.990242</v>
      </c>
      <c r="G19" s="115">
        <f>SUM(G5:G18)</f>
        <v>30896.892088500004</v>
      </c>
      <c r="H19" s="96"/>
      <c r="I19" s="96"/>
      <c r="J19" s="96"/>
      <c r="K19" s="96"/>
      <c r="L19" s="115">
        <f>SUM(L5:L18)</f>
        <v>1499.2606039999996</v>
      </c>
      <c r="M19" s="115">
        <f>SUM(M5:M18)</f>
        <v>1499.2606039999996</v>
      </c>
      <c r="N19" s="115">
        <f>SUM(N5:N18)</f>
        <v>2998.5212079999997</v>
      </c>
      <c r="O19" s="96">
        <f>SUM(O4:O18)</f>
        <v>722.4</v>
      </c>
      <c r="P19" s="96">
        <f>SUM(P4:P18)</f>
        <v>722.4</v>
      </c>
      <c r="Q19" s="96">
        <f>SUM(Q4:Q18)</f>
        <v>1636.8</v>
      </c>
      <c r="R19" s="96"/>
      <c r="S19" s="96">
        <f>SUM(S4:S18)</f>
        <v>2102.030967</v>
      </c>
      <c r="T19" s="96"/>
      <c r="U19" s="96">
        <f>SUM(U4:U18)</f>
        <v>2122.6192885</v>
      </c>
      <c r="V19" s="96"/>
      <c r="W19" s="96">
        <f>SUM(W4:W18)</f>
        <v>1262.3456814999997</v>
      </c>
      <c r="X19" s="96"/>
      <c r="Y19" s="96">
        <f>SUM(Y4:Y18)</f>
        <v>1275.5268425</v>
      </c>
      <c r="Z19" s="96"/>
      <c r="AA19" s="96">
        <f>SUM(AA4:AA18)</f>
        <v>9856.557474999998</v>
      </c>
      <c r="AB19" s="96"/>
      <c r="AC19" s="96">
        <f>SUM(AC4:AC18)</f>
        <v>9881.330100000001</v>
      </c>
      <c r="AD19" s="96">
        <f>SUM(AD4:AD18)</f>
        <v>19737.887575</v>
      </c>
      <c r="AE19" s="85"/>
      <c r="AF19" s="85">
        <f>SUM(AF5:AF18)</f>
        <v>10282.67626</v>
      </c>
      <c r="AG19" s="85"/>
      <c r="AH19" s="85">
        <f>SUM(AH5:AH18)</f>
        <v>12853.650495</v>
      </c>
      <c r="AI19" s="85"/>
    </row>
    <row r="20" spans="1:30" ht="22.5" customHeight="1">
      <c r="A20" s="106"/>
      <c r="B20" s="96"/>
      <c r="C20" s="96"/>
      <c r="D20" s="96"/>
      <c r="E20" s="96"/>
      <c r="F20" s="154">
        <f>SUM(E19:F19)</f>
        <v>30896.892088499997</v>
      </c>
      <c r="G20" s="96"/>
      <c r="H20" s="96"/>
      <c r="I20" s="96"/>
      <c r="J20" s="96"/>
      <c r="K20" s="96"/>
      <c r="L20" s="96"/>
      <c r="M20" s="154">
        <f>SUM(L19:M19)</f>
        <v>2998.521207999999</v>
      </c>
      <c r="N20" s="96"/>
      <c r="O20" s="173"/>
      <c r="P20" s="154">
        <f>SUM(O19:P19)</f>
        <v>1444.8</v>
      </c>
      <c r="Q20" s="173"/>
      <c r="R20" s="96"/>
      <c r="S20" s="96"/>
      <c r="T20" s="96"/>
      <c r="U20" s="96">
        <f>SUM(S19:U19)</f>
        <v>4224.650255500001</v>
      </c>
      <c r="V20" s="96"/>
      <c r="W20" s="96"/>
      <c r="X20" s="96"/>
      <c r="Y20" s="96">
        <f>SUM(W19:Y19)</f>
        <v>2537.8725239999994</v>
      </c>
      <c r="Z20" s="96"/>
      <c r="AA20" s="96"/>
      <c r="AB20" s="96"/>
      <c r="AC20" s="96"/>
      <c r="AD20" s="96"/>
    </row>
    <row r="21" spans="1:30" ht="22.5" customHeight="1">
      <c r="A21" s="155" t="s">
        <v>128</v>
      </c>
      <c r="B21" s="156"/>
      <c r="C21" s="156"/>
      <c r="D21" s="156"/>
      <c r="E21" s="156"/>
      <c r="F21" s="156"/>
      <c r="G21" s="157">
        <f>SUM(G4:G18)</f>
        <v>30896.892088500004</v>
      </c>
      <c r="H21" s="156"/>
      <c r="I21" s="156"/>
      <c r="J21" s="156"/>
      <c r="K21" s="156"/>
      <c r="L21" s="156"/>
      <c r="M21" s="156"/>
      <c r="N21" s="157">
        <f>SUM(N4:N18)</f>
        <v>2998.5212079999997</v>
      </c>
      <c r="O21" s="157"/>
      <c r="P21" s="157"/>
      <c r="Q21" s="157">
        <f>SUM(Q4:Q18)</f>
        <v>1636.8</v>
      </c>
      <c r="R21" s="156"/>
      <c r="S21" s="156"/>
      <c r="T21" s="156"/>
      <c r="U21" s="157">
        <f>U19+S19</f>
        <v>4224.650255500001</v>
      </c>
      <c r="V21" s="156"/>
      <c r="W21" s="157"/>
      <c r="X21" s="156"/>
      <c r="Y21" s="157">
        <f>Y19+W19</f>
        <v>2537.8725239999994</v>
      </c>
      <c r="Z21" s="156"/>
      <c r="AA21" s="156"/>
      <c r="AB21" s="156"/>
      <c r="AC21" s="156"/>
      <c r="AD21" s="157">
        <f>SUM(AD4:AD18)</f>
        <v>19737.887575</v>
      </c>
    </row>
    <row r="22" spans="1:30" ht="22.5" customHeight="1">
      <c r="A22" s="529" t="s">
        <v>682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</row>
    <row r="23" spans="1:30" ht="22.5" customHeight="1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</row>
    <row r="24" spans="1:30" ht="22.5" customHeight="1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</row>
    <row r="25" spans="1:30" ht="22.5" customHeight="1">
      <c r="A25" s="99" t="s">
        <v>683</v>
      </c>
      <c r="B25" s="99">
        <v>0</v>
      </c>
      <c r="C25" s="111">
        <v>13.679856</v>
      </c>
      <c r="D25" s="111">
        <v>6.140011</v>
      </c>
      <c r="E25" s="99"/>
      <c r="F25" s="99"/>
      <c r="G25" s="99">
        <v>0</v>
      </c>
      <c r="H25" s="111">
        <v>0.519484</v>
      </c>
      <c r="I25" s="111">
        <v>0.75</v>
      </c>
      <c r="J25" s="111">
        <v>0.75</v>
      </c>
      <c r="K25" s="111">
        <v>0.519484</v>
      </c>
      <c r="L25" s="99"/>
      <c r="M25" s="99"/>
      <c r="N25" s="99">
        <v>0</v>
      </c>
      <c r="O25" s="174"/>
      <c r="P25" s="174"/>
      <c r="Q25" s="99">
        <v>0</v>
      </c>
      <c r="R25" s="111">
        <v>1.5968</v>
      </c>
      <c r="S25" s="99">
        <v>0</v>
      </c>
      <c r="T25" s="111">
        <v>1.9558</v>
      </c>
      <c r="U25" s="99">
        <v>0</v>
      </c>
      <c r="V25" s="111">
        <v>0.9585</v>
      </c>
      <c r="W25" s="99">
        <v>0</v>
      </c>
      <c r="X25" s="111">
        <v>1.1739</v>
      </c>
      <c r="Y25" s="99">
        <v>0</v>
      </c>
      <c r="Z25" s="111">
        <v>7.5603</v>
      </c>
      <c r="AA25" s="99">
        <v>0</v>
      </c>
      <c r="AB25" s="111">
        <v>8.9963</v>
      </c>
      <c r="AC25" s="99">
        <v>0</v>
      </c>
      <c r="AD25" s="99">
        <v>0</v>
      </c>
    </row>
    <row r="26" spans="1:30" ht="22.5" customHeight="1">
      <c r="A26" s="99" t="s">
        <v>684</v>
      </c>
      <c r="B26" s="99">
        <v>28</v>
      </c>
      <c r="C26" s="111">
        <v>13.679856</v>
      </c>
      <c r="D26" s="111">
        <v>6.140011</v>
      </c>
      <c r="E26" s="115">
        <f>(C26+C25)/2*B26</f>
        <v>383.03596799999997</v>
      </c>
      <c r="F26" s="115">
        <f>(D26+D25)/2*B26</f>
        <v>171.920308</v>
      </c>
      <c r="G26" s="91">
        <f>(D26+D24+C26+C24)/2*B26</f>
        <v>277.478138</v>
      </c>
      <c r="H26" s="111">
        <v>0.519484</v>
      </c>
      <c r="I26" s="111">
        <v>0.75</v>
      </c>
      <c r="J26" s="111">
        <v>0.75</v>
      </c>
      <c r="K26" s="111">
        <v>0.519484</v>
      </c>
      <c r="L26" s="115">
        <f>(H26+H25+I26+I25)/2*B26</f>
        <v>35.545551999999994</v>
      </c>
      <c r="M26" s="115">
        <f>SUM(J26+J25+K26+K25)/2*B26</f>
        <v>35.545551999999994</v>
      </c>
      <c r="N26" s="91">
        <f>(K26+K24+J24+J26+I26+I24+H24+H26)/2*B26</f>
        <v>35.545551999999994</v>
      </c>
      <c r="O26" s="174">
        <f>0.6*B26</f>
        <v>16.8</v>
      </c>
      <c r="P26" s="174">
        <f>0.6*B26</f>
        <v>16.8</v>
      </c>
      <c r="Q26" s="91">
        <f>1.2*B26</f>
        <v>33.6</v>
      </c>
      <c r="R26" s="111">
        <v>1.5968</v>
      </c>
      <c r="S26" s="91">
        <f>(R26+R25)/2*B26</f>
        <v>44.7104</v>
      </c>
      <c r="T26" s="111">
        <v>1.9558</v>
      </c>
      <c r="U26" s="91">
        <f>(T26+T25)/2*B26</f>
        <v>54.7624</v>
      </c>
      <c r="V26" s="111">
        <v>0.9585</v>
      </c>
      <c r="W26" s="91">
        <f>(V26+V25)/2*B26</f>
        <v>26.838</v>
      </c>
      <c r="X26" s="111">
        <v>1.1739</v>
      </c>
      <c r="Y26" s="91">
        <f>(X26+X25)/2*B26</f>
        <v>32.8692</v>
      </c>
      <c r="Z26" s="111">
        <v>7.5603</v>
      </c>
      <c r="AA26" s="91">
        <f>(Z26+Z25)/2*B26</f>
        <v>211.6884</v>
      </c>
      <c r="AB26" s="111">
        <v>8.9963</v>
      </c>
      <c r="AC26" s="153">
        <f>(AB26+AB25)/2*B26</f>
        <v>251.8964</v>
      </c>
      <c r="AD26" s="91">
        <f>AC26+AA26</f>
        <v>463.5848</v>
      </c>
    </row>
    <row r="27" spans="1:30" ht="22.5" customHeight="1">
      <c r="A27" s="152" t="s">
        <v>685</v>
      </c>
      <c r="B27" s="91">
        <v>50</v>
      </c>
      <c r="C27" s="111">
        <v>5.6749</v>
      </c>
      <c r="D27" s="111">
        <v>4.798899</v>
      </c>
      <c r="E27" s="115">
        <f>(C27+C26)/2*B27</f>
        <v>483.86889999999994</v>
      </c>
      <c r="F27" s="115">
        <f>(D27+D26)/2*B27</f>
        <v>273.47275</v>
      </c>
      <c r="G27" s="91">
        <f>(D27+D25+C27+C25)/2*B27</f>
        <v>757.3416500000001</v>
      </c>
      <c r="H27" s="111">
        <v>0.519484</v>
      </c>
      <c r="I27" s="111">
        <v>0.75</v>
      </c>
      <c r="J27" s="111">
        <v>0.75</v>
      </c>
      <c r="K27" s="111">
        <v>0.519484</v>
      </c>
      <c r="L27" s="115">
        <f>(H27+H26+I27+I26)/2*B27</f>
        <v>63.47419999999999</v>
      </c>
      <c r="M27" s="115">
        <f>SUM(J27+J26+K27+K26)/2*B27</f>
        <v>63.47419999999999</v>
      </c>
      <c r="N27" s="91">
        <f>(K27+K25+J25+J27+I27+I25+H25+H27)/2*B27</f>
        <v>126.9484</v>
      </c>
      <c r="O27" s="174">
        <f>0.6*B27</f>
        <v>30</v>
      </c>
      <c r="P27" s="174">
        <f>0.6*B27</f>
        <v>30</v>
      </c>
      <c r="Q27" s="91">
        <f>1.2*B27</f>
        <v>60</v>
      </c>
      <c r="R27" s="111">
        <v>1.0188</v>
      </c>
      <c r="S27" s="91">
        <f>(R27+R26)/2*B27</f>
        <v>65.38999999999999</v>
      </c>
      <c r="T27" s="111">
        <v>1.8704</v>
      </c>
      <c r="U27" s="91">
        <f>(T27+T26)/2*B27</f>
        <v>95.655</v>
      </c>
      <c r="V27" s="111">
        <v>0.6124</v>
      </c>
      <c r="W27" s="91">
        <f>(V27+V26)/2*B27</f>
        <v>39.2725</v>
      </c>
      <c r="X27" s="111">
        <v>1.1227</v>
      </c>
      <c r="Y27" s="91">
        <f>(X27+X26)/2*B27</f>
        <v>57.41499999999999</v>
      </c>
      <c r="Z27" s="111">
        <v>5.2532</v>
      </c>
      <c r="AA27" s="91">
        <f>(Z27+Z26)/2*B27</f>
        <v>320.3375</v>
      </c>
      <c r="AB27" s="111">
        <v>8.6548</v>
      </c>
      <c r="AC27" s="153">
        <f>(AB27+AB26)/2*B27</f>
        <v>441.2775</v>
      </c>
      <c r="AD27" s="91">
        <f>AC27+AA27</f>
        <v>761.615</v>
      </c>
    </row>
    <row r="28" spans="1:30" ht="22.5" customHeight="1">
      <c r="A28" s="152" t="s">
        <v>686</v>
      </c>
      <c r="B28" s="91">
        <v>100</v>
      </c>
      <c r="C28" s="111">
        <v>5.9611</v>
      </c>
      <c r="D28" s="111">
        <v>3.597046</v>
      </c>
      <c r="E28" s="115">
        <f>(C28+C27)/2*B28</f>
        <v>581.8</v>
      </c>
      <c r="F28" s="115">
        <f>(D28+D27)/2*B28</f>
        <v>419.79724999999996</v>
      </c>
      <c r="G28" s="91">
        <f>(D28+D27+C28+C27)/2*B28</f>
        <v>1001.59725</v>
      </c>
      <c r="H28" s="111">
        <v>0.519484</v>
      </c>
      <c r="I28" s="111">
        <v>0.75</v>
      </c>
      <c r="J28" s="111">
        <v>0.75</v>
      </c>
      <c r="K28" s="111">
        <v>0.519484</v>
      </c>
      <c r="L28" s="115">
        <f>(H28+H27+I28+I27)/2*B28</f>
        <v>126.94839999999998</v>
      </c>
      <c r="M28" s="115">
        <f>SUM(J28+J27+K28+K27)/2*B28</f>
        <v>126.94839999999998</v>
      </c>
      <c r="N28" s="91">
        <f>(K28+K27+J27+J28+I28+I27+H27+H28)/2*B28</f>
        <v>253.8968</v>
      </c>
      <c r="O28" s="174">
        <f>0.6*B28</f>
        <v>60</v>
      </c>
      <c r="P28" s="174">
        <f>0.6*B28</f>
        <v>60</v>
      </c>
      <c r="Q28" s="91">
        <f>1.2*B28</f>
        <v>120</v>
      </c>
      <c r="R28" s="111">
        <v>1.3925</v>
      </c>
      <c r="S28" s="91">
        <f>(R28+R27)/2*B28</f>
        <v>120.56499999999998</v>
      </c>
      <c r="T28" s="111">
        <v>1.3996</v>
      </c>
      <c r="U28" s="91">
        <f>(T28+T27)/2*B28</f>
        <v>163.5</v>
      </c>
      <c r="V28" s="111">
        <v>0.8354</v>
      </c>
      <c r="W28" s="91">
        <f>(V28+V27)/2*B28</f>
        <v>72.39</v>
      </c>
      <c r="X28" s="111">
        <v>0.8402</v>
      </c>
      <c r="Y28" s="91">
        <f>(X28+X27)/2*B28</f>
        <v>98.145</v>
      </c>
      <c r="Z28" s="111">
        <v>6.7399</v>
      </c>
      <c r="AA28" s="91">
        <f>(Z28+Z27)/2*B28</f>
        <v>599.655</v>
      </c>
      <c r="AB28" s="111">
        <v>6.7715</v>
      </c>
      <c r="AC28" s="153">
        <f>(AB28+AB27)/2*B28</f>
        <v>771.3149999999999</v>
      </c>
      <c r="AD28" s="91">
        <f>AC28+AA28</f>
        <v>1370.9699999999998</v>
      </c>
    </row>
    <row r="29" spans="1:30" ht="22.5" customHeight="1">
      <c r="A29" s="91" t="s">
        <v>687</v>
      </c>
      <c r="B29" s="91">
        <v>100</v>
      </c>
      <c r="C29" s="111">
        <v>6.506426</v>
      </c>
      <c r="D29" s="111">
        <v>8.383</v>
      </c>
      <c r="E29" s="115">
        <f>(C29+C28)/2*B29</f>
        <v>623.3763</v>
      </c>
      <c r="F29" s="115">
        <f>(D29+D28)/2*B29</f>
        <v>599.0023</v>
      </c>
      <c r="G29" s="91">
        <f>(D29+D28+C29+C28)/2*B29</f>
        <v>1222.3786</v>
      </c>
      <c r="H29" s="111">
        <v>0.519484</v>
      </c>
      <c r="I29" s="111">
        <v>0.75</v>
      </c>
      <c r="J29" s="111">
        <v>0.75</v>
      </c>
      <c r="K29" s="111">
        <v>0.519484</v>
      </c>
      <c r="L29" s="115">
        <f>(H29+H28+I29+I28)/2*B29</f>
        <v>126.94839999999998</v>
      </c>
      <c r="M29" s="115">
        <f>SUM(J29+J28+K29+K28)/2*B29</f>
        <v>126.94839999999998</v>
      </c>
      <c r="N29" s="91">
        <f>(K29+K28+J28+J29+I29+I28+H28+H29)/2*B29</f>
        <v>253.8968</v>
      </c>
      <c r="O29" s="174">
        <f>0.6*B29</f>
        <v>60</v>
      </c>
      <c r="P29" s="174">
        <f>0.6*B29</f>
        <v>60</v>
      </c>
      <c r="Q29" s="91">
        <f>1.2*B29</f>
        <v>120</v>
      </c>
      <c r="R29" s="111">
        <v>1.4792</v>
      </c>
      <c r="S29" s="91">
        <f>(R29+R28)/2*B29</f>
        <v>143.585</v>
      </c>
      <c r="T29" s="111">
        <v>1.5968</v>
      </c>
      <c r="U29" s="91">
        <f>(T29+T28)/2*B29</f>
        <v>149.82</v>
      </c>
      <c r="V29" s="111">
        <v>0.888</v>
      </c>
      <c r="W29" s="91">
        <f>(V29+V28)/2*B29</f>
        <v>86.17</v>
      </c>
      <c r="X29" s="111">
        <v>0.9585</v>
      </c>
      <c r="Y29" s="91">
        <f>(X29+X28)/2*B29</f>
        <v>89.935</v>
      </c>
      <c r="Z29" s="111">
        <v>7.0901</v>
      </c>
      <c r="AA29" s="91">
        <f>(Z29+Z28)/2*B29</f>
        <v>691.4999999999999</v>
      </c>
      <c r="AB29" s="111">
        <v>7.5603</v>
      </c>
      <c r="AC29" s="153">
        <f>(AB29+AB28)/2*B29</f>
        <v>716.5899999999999</v>
      </c>
      <c r="AD29" s="91">
        <f>AC29+AA29</f>
        <v>1408.0899999999997</v>
      </c>
    </row>
    <row r="30" spans="1:30" ht="22.5" customHeight="1">
      <c r="A30" s="160" t="s">
        <v>688</v>
      </c>
      <c r="B30" s="153">
        <v>100</v>
      </c>
      <c r="C30" s="161">
        <v>12.142331</v>
      </c>
      <c r="D30" s="161">
        <v>3.551029</v>
      </c>
      <c r="E30" s="115">
        <f>(C30+C29)/2*B30</f>
        <v>932.43785</v>
      </c>
      <c r="F30" s="115">
        <f>(D30+D29)/2*B30</f>
        <v>596.7014499999999</v>
      </c>
      <c r="G30" s="153">
        <f>(D30+D29+C30+C29)/2*B30</f>
        <v>1529.1393</v>
      </c>
      <c r="H30" s="161">
        <v>0.519484</v>
      </c>
      <c r="I30" s="161">
        <v>0.75</v>
      </c>
      <c r="J30" s="161">
        <v>0.75</v>
      </c>
      <c r="K30" s="161">
        <v>0.519484</v>
      </c>
      <c r="L30" s="115">
        <f>(H30+H29+I30+I29)/2*B30</f>
        <v>126.94839999999998</v>
      </c>
      <c r="M30" s="115">
        <f>SUM(J30+J29+K30+K29)/2*B30</f>
        <v>126.94839999999998</v>
      </c>
      <c r="N30" s="153">
        <f>(K30+K29+J29+J30+I30+I29+H29+H30)/2*B30</f>
        <v>253.8968</v>
      </c>
      <c r="O30" s="175">
        <f>0.6*B30</f>
        <v>60</v>
      </c>
      <c r="P30" s="175">
        <f>0.6*B30</f>
        <v>60</v>
      </c>
      <c r="Q30" s="153">
        <f>1.2*B30</f>
        <v>120</v>
      </c>
      <c r="R30" s="161">
        <v>1.9558</v>
      </c>
      <c r="S30" s="91">
        <f>(R30+R29)/2*B30</f>
        <v>171.75</v>
      </c>
      <c r="T30" s="161">
        <v>0.9504</v>
      </c>
      <c r="U30" s="91">
        <f>(T30+T29)/2*B30</f>
        <v>127.36000000000001</v>
      </c>
      <c r="V30" s="161">
        <v>1.1739</v>
      </c>
      <c r="W30" s="91">
        <f>(V30+V29)/2*B30</f>
        <v>103.095</v>
      </c>
      <c r="X30" s="161">
        <v>0.5698</v>
      </c>
      <c r="Y30" s="91">
        <f>(X30+X29)/2*B30</f>
        <v>76.415</v>
      </c>
      <c r="Z30" s="161">
        <v>8.9963</v>
      </c>
      <c r="AA30" s="91">
        <f>(Z30+Z29)/2*B30</f>
        <v>804.3199999999999</v>
      </c>
      <c r="AB30" s="161">
        <v>4.969</v>
      </c>
      <c r="AC30" s="153">
        <f>(AB30+AB29)/2*B30</f>
        <v>626.4649999999999</v>
      </c>
      <c r="AD30" s="153">
        <f>AC30+AA30</f>
        <v>1430.7849999999999</v>
      </c>
    </row>
    <row r="31" spans="1:30" s="150" customFormat="1" ht="22.5" customHeight="1">
      <c r="A31" s="162">
        <v>378</v>
      </c>
      <c r="B31" s="162">
        <v>378</v>
      </c>
      <c r="C31" s="162"/>
      <c r="D31" s="162"/>
      <c r="E31" s="162">
        <f>SUM(E26:E30)</f>
        <v>3004.519018</v>
      </c>
      <c r="F31" s="162">
        <f>SUM(F26:F30)</f>
        <v>2060.894058</v>
      </c>
      <c r="G31" s="162">
        <f>SUM(G26:G30)</f>
        <v>4787.934938</v>
      </c>
      <c r="H31" s="162"/>
      <c r="I31" s="162"/>
      <c r="J31" s="162"/>
      <c r="K31" s="162"/>
      <c r="L31" s="162">
        <f aca="true" t="shared" si="18" ref="L31:Q31">SUM(L26:L30)</f>
        <v>479.86495199999996</v>
      </c>
      <c r="M31" s="162">
        <f t="shared" si="18"/>
        <v>479.86495199999996</v>
      </c>
      <c r="N31" s="162">
        <f t="shared" si="18"/>
        <v>924.184352</v>
      </c>
      <c r="O31" s="162">
        <f t="shared" si="18"/>
        <v>226.8</v>
      </c>
      <c r="P31" s="162">
        <f t="shared" si="18"/>
        <v>226.8</v>
      </c>
      <c r="Q31" s="162">
        <f t="shared" si="18"/>
        <v>453.6</v>
      </c>
      <c r="R31" s="162"/>
      <c r="S31" s="162">
        <f>SUM(S26:S30)</f>
        <v>546.0004</v>
      </c>
      <c r="T31" s="162"/>
      <c r="U31" s="162">
        <f>SUM(U26:U30)</f>
        <v>591.0974</v>
      </c>
      <c r="V31" s="162"/>
      <c r="W31" s="176">
        <f>SUM(W26:W30)</f>
        <v>327.7655</v>
      </c>
      <c r="X31" s="162"/>
      <c r="Y31" s="162">
        <f>SUM(Y26:Y30)</f>
        <v>354.7792</v>
      </c>
      <c r="Z31" s="162"/>
      <c r="AA31" s="162">
        <f>SUM(AA26:AA30)</f>
        <v>2627.5009</v>
      </c>
      <c r="AB31" s="162"/>
      <c r="AC31" s="162">
        <f>SUM(AC26:AC30)</f>
        <v>2807.5438999999997</v>
      </c>
      <c r="AD31" s="162">
        <f>SUM(AD26:AD30)</f>
        <v>5435.0448</v>
      </c>
    </row>
    <row r="32" spans="1:31" s="150" customFormat="1" ht="22.5" customHeight="1">
      <c r="A32" s="163" t="s">
        <v>128</v>
      </c>
      <c r="B32" s="164"/>
      <c r="C32" s="164"/>
      <c r="D32" s="164"/>
      <c r="E32" s="164"/>
      <c r="F32" s="164"/>
      <c r="G32" s="165">
        <v>4787.9</v>
      </c>
      <c r="H32" s="164"/>
      <c r="I32" s="164"/>
      <c r="J32" s="164"/>
      <c r="K32" s="164"/>
      <c r="L32" s="164"/>
      <c r="M32" s="164"/>
      <c r="N32" s="165">
        <v>924.2</v>
      </c>
      <c r="O32" s="164"/>
      <c r="P32" s="164"/>
      <c r="Q32" s="165">
        <v>453.6</v>
      </c>
      <c r="R32" s="164"/>
      <c r="S32" s="164"/>
      <c r="T32" s="164"/>
      <c r="U32" s="165">
        <f>U31+S31</f>
        <v>1137.0978</v>
      </c>
      <c r="V32" s="164"/>
      <c r="W32" s="164"/>
      <c r="X32" s="164"/>
      <c r="Y32" s="165">
        <f>Y31+W31</f>
        <v>682.5446999999999</v>
      </c>
      <c r="Z32" s="164"/>
      <c r="AA32" s="164"/>
      <c r="AB32" s="164"/>
      <c r="AC32" s="164"/>
      <c r="AD32" s="178">
        <v>5203.3</v>
      </c>
      <c r="AE32" s="179"/>
    </row>
    <row r="33" spans="1:30" ht="22.5" customHeight="1">
      <c r="A33" s="166" t="s">
        <v>689</v>
      </c>
      <c r="B33" s="99">
        <v>79</v>
      </c>
      <c r="C33" s="99">
        <v>9.760399</v>
      </c>
      <c r="D33" s="99">
        <v>4.167396</v>
      </c>
      <c r="E33" s="167">
        <f>(C33+C30)/2*B33</f>
        <v>865.157835</v>
      </c>
      <c r="F33" s="167">
        <f>(D33+D30)/2*B33</f>
        <v>304.8777875</v>
      </c>
      <c r="G33" s="99">
        <f>(D33+D30+C33+C30)/2*B33</f>
        <v>1170.0356225</v>
      </c>
      <c r="H33" s="99">
        <v>0.519484</v>
      </c>
      <c r="I33" s="99">
        <v>0.75</v>
      </c>
      <c r="J33" s="99">
        <v>0.75</v>
      </c>
      <c r="K33" s="99">
        <v>0.519484</v>
      </c>
      <c r="L33" s="167">
        <f>(H33+H30+I33+I30)/2*B33</f>
        <v>100.28923599999999</v>
      </c>
      <c r="M33" s="167">
        <f>SUM(J33+J30+K33+K30)/2*B33</f>
        <v>100.28923599999999</v>
      </c>
      <c r="N33" s="99">
        <f>(K33+K30+J30+J33+I33+I30+H30+H33)/2*B33</f>
        <v>200.578472</v>
      </c>
      <c r="O33" s="99">
        <f aca="true" t="shared" si="19" ref="O33:O51">0.6*B33</f>
        <v>47.4</v>
      </c>
      <c r="P33" s="99">
        <f aca="true" t="shared" si="20" ref="P33:P51">0.6*B33</f>
        <v>47.4</v>
      </c>
      <c r="Q33" s="99">
        <f aca="true" t="shared" si="21" ref="Q33:Q51">1.2*B33</f>
        <v>94.8</v>
      </c>
      <c r="R33" s="99">
        <v>2.19926</v>
      </c>
      <c r="S33" s="99">
        <f>(R33+R30)/2*B33</f>
        <v>164.12487000000002</v>
      </c>
      <c r="T33" s="99">
        <v>0.985725</v>
      </c>
      <c r="U33" s="99">
        <f>(T33+T30)/2*B33</f>
        <v>76.4769375</v>
      </c>
      <c r="V33" s="99">
        <v>1.320001</v>
      </c>
      <c r="W33" s="99">
        <f>(V33+V30)/2*B33</f>
        <v>98.5090895</v>
      </c>
      <c r="X33" s="99">
        <v>0.59188</v>
      </c>
      <c r="Y33" s="99">
        <f>(X33+X30)/2*B33</f>
        <v>45.88636</v>
      </c>
      <c r="Z33" s="99">
        <v>9.97031</v>
      </c>
      <c r="AA33" s="99">
        <f>(Z33+Z30)/2*B33</f>
        <v>749.181095</v>
      </c>
      <c r="AB33" s="99">
        <v>5.11617</v>
      </c>
      <c r="AC33" s="99">
        <f>(AB33+AB30)/2*B33</f>
        <v>398.36421500000006</v>
      </c>
      <c r="AD33" s="99">
        <f aca="true" t="shared" si="22" ref="AD33:AD51">AC33+AA33</f>
        <v>1147.54531</v>
      </c>
    </row>
    <row r="34" spans="1:30" ht="22.5" customHeight="1">
      <c r="A34" s="152" t="s">
        <v>690</v>
      </c>
      <c r="B34" s="91">
        <v>68</v>
      </c>
      <c r="C34" s="91">
        <v>2.909631</v>
      </c>
      <c r="D34" s="91">
        <v>5.759043</v>
      </c>
      <c r="E34" s="115">
        <f aca="true" t="shared" si="23" ref="E34:E51">(C34+C33)/2*B34</f>
        <v>430.78102</v>
      </c>
      <c r="F34" s="115">
        <f aca="true" t="shared" si="24" ref="F34:F51">(D34+D33)/2*B34</f>
        <v>337.498926</v>
      </c>
      <c r="G34" s="91">
        <f aca="true" t="shared" si="25" ref="G34:G51">(D34+D33+C34+C33)/2*B34</f>
        <v>768.279946</v>
      </c>
      <c r="H34" s="91">
        <v>0.519484</v>
      </c>
      <c r="I34" s="91">
        <v>0.75</v>
      </c>
      <c r="J34" s="91">
        <v>0.75</v>
      </c>
      <c r="K34" s="91">
        <v>0.519484</v>
      </c>
      <c r="L34" s="115">
        <f aca="true" t="shared" si="26" ref="L34:L51">(H34+H33+I34+I33)/2*B34</f>
        <v>86.32491199999998</v>
      </c>
      <c r="M34" s="115">
        <f aca="true" t="shared" si="27" ref="M34:M51">SUM(J34+J33+K34+K33)/2*B34</f>
        <v>86.32491199999998</v>
      </c>
      <c r="N34" s="91">
        <f aca="true" t="shared" si="28" ref="N34:N51">(K34+K33+J33+J34+I34+I33+H33+H34)/2*B34</f>
        <v>172.649824</v>
      </c>
      <c r="O34" s="91">
        <f t="shared" si="19"/>
        <v>40.8</v>
      </c>
      <c r="P34" s="91">
        <f t="shared" si="20"/>
        <v>40.8</v>
      </c>
      <c r="Q34" s="91">
        <f t="shared" si="21"/>
        <v>81.6</v>
      </c>
      <c r="R34" s="91">
        <v>0.896502</v>
      </c>
      <c r="S34" s="91">
        <f aca="true" t="shared" si="29" ref="S34:S51">(R34+R33)/2*B34</f>
        <v>105.255908</v>
      </c>
      <c r="T34" s="91">
        <v>1.76089</v>
      </c>
      <c r="U34" s="91">
        <f aca="true" t="shared" si="30" ref="U34:U51">(T34+T33)/2*B34</f>
        <v>93.38491</v>
      </c>
      <c r="V34" s="91">
        <v>0.538346</v>
      </c>
      <c r="W34" s="91">
        <f aca="true" t="shared" si="31" ref="W34:W51">(V34+V33)/2*B34</f>
        <v>63.183797999999996</v>
      </c>
      <c r="X34" s="91">
        <v>1.055431</v>
      </c>
      <c r="Y34" s="91">
        <f aca="true" t="shared" si="32" ref="Y34:Y51">(X34+X33)/2*B34</f>
        <v>56.008573999999996</v>
      </c>
      <c r="Z34" s="91">
        <v>4.75927</v>
      </c>
      <c r="AA34" s="91">
        <f aca="true" t="shared" si="33" ref="AA34:AA51">(Z34+Z33)/2*B34</f>
        <v>500.80571999999995</v>
      </c>
      <c r="AB34" s="91">
        <v>8.20651</v>
      </c>
      <c r="AC34" s="91">
        <f aca="true" t="shared" si="34" ref="AC34:AC51">(AB34+AB33)/2*B34</f>
        <v>452.97112</v>
      </c>
      <c r="AD34" s="91">
        <f t="shared" si="22"/>
        <v>953.77684</v>
      </c>
    </row>
    <row r="35" spans="1:30" ht="22.5" customHeight="1">
      <c r="A35" s="152" t="s">
        <v>691</v>
      </c>
      <c r="B35" s="91">
        <v>151</v>
      </c>
      <c r="C35" s="91">
        <v>3.343097</v>
      </c>
      <c r="D35" s="91">
        <v>5.295744</v>
      </c>
      <c r="E35" s="115">
        <f t="shared" si="23"/>
        <v>472.080964</v>
      </c>
      <c r="F35" s="115">
        <f t="shared" si="24"/>
        <v>834.6364185000001</v>
      </c>
      <c r="G35" s="91">
        <f t="shared" si="25"/>
        <v>1306.7173825000002</v>
      </c>
      <c r="H35" s="91">
        <v>0.519484</v>
      </c>
      <c r="I35" s="91">
        <v>0.75</v>
      </c>
      <c r="J35" s="91">
        <v>0.75</v>
      </c>
      <c r="K35" s="91">
        <v>0.519484</v>
      </c>
      <c r="L35" s="115">
        <f t="shared" si="26"/>
        <v>191.69208399999997</v>
      </c>
      <c r="M35" s="115">
        <f t="shared" si="27"/>
        <v>191.69208399999997</v>
      </c>
      <c r="N35" s="91">
        <f t="shared" si="28"/>
        <v>383.38416800000005</v>
      </c>
      <c r="O35" s="91">
        <f t="shared" si="19"/>
        <v>90.6</v>
      </c>
      <c r="P35" s="91">
        <f t="shared" si="20"/>
        <v>90.6</v>
      </c>
      <c r="Q35" s="91">
        <f t="shared" si="21"/>
        <v>181.2</v>
      </c>
      <c r="R35" s="91">
        <v>1.223978</v>
      </c>
      <c r="S35" s="91">
        <f t="shared" si="29"/>
        <v>160.09624000000002</v>
      </c>
      <c r="T35" s="91">
        <v>1.080783</v>
      </c>
      <c r="U35" s="91">
        <f t="shared" si="30"/>
        <v>214.5463115</v>
      </c>
      <c r="V35" s="91">
        <v>0.734832</v>
      </c>
      <c r="W35" s="91">
        <f t="shared" si="31"/>
        <v>96.12493900000001</v>
      </c>
      <c r="X35" s="91">
        <v>0.648234</v>
      </c>
      <c r="Y35" s="91">
        <f t="shared" si="32"/>
        <v>128.6267075</v>
      </c>
      <c r="Z35" s="91">
        <v>3.2</v>
      </c>
      <c r="AA35" s="91">
        <f t="shared" si="33"/>
        <v>600.924885</v>
      </c>
      <c r="AB35" s="91">
        <v>5.49186</v>
      </c>
      <c r="AC35" s="91">
        <f t="shared" si="34"/>
        <v>1034.2269350000001</v>
      </c>
      <c r="AD35" s="91">
        <f t="shared" si="22"/>
        <v>1635.15182</v>
      </c>
    </row>
    <row r="36" spans="1:30" ht="22.5" customHeight="1">
      <c r="A36" s="152" t="s">
        <v>692</v>
      </c>
      <c r="B36" s="91">
        <v>41</v>
      </c>
      <c r="C36" s="91">
        <v>3.234335</v>
      </c>
      <c r="D36" s="91">
        <v>3.886036</v>
      </c>
      <c r="E36" s="115">
        <f t="shared" si="23"/>
        <v>134.837356</v>
      </c>
      <c r="F36" s="115">
        <f t="shared" si="24"/>
        <v>188.22648999999998</v>
      </c>
      <c r="G36" s="91">
        <f t="shared" si="25"/>
        <v>323.063846</v>
      </c>
      <c r="H36" s="91">
        <v>0.519484</v>
      </c>
      <c r="I36" s="91">
        <v>0.75</v>
      </c>
      <c r="J36" s="91">
        <v>0.75</v>
      </c>
      <c r="K36" s="91">
        <v>0.519484</v>
      </c>
      <c r="L36" s="115">
        <f t="shared" si="26"/>
        <v>52.048843999999995</v>
      </c>
      <c r="M36" s="115">
        <f t="shared" si="27"/>
        <v>52.048843999999995</v>
      </c>
      <c r="N36" s="91">
        <f t="shared" si="28"/>
        <v>104.097688</v>
      </c>
      <c r="O36" s="91">
        <f t="shared" si="19"/>
        <v>24.599999999999998</v>
      </c>
      <c r="P36" s="91">
        <f t="shared" si="20"/>
        <v>24.599999999999998</v>
      </c>
      <c r="Q36" s="91">
        <f t="shared" si="21"/>
        <v>49.199999999999996</v>
      </c>
      <c r="R36" s="91">
        <v>1.067537</v>
      </c>
      <c r="S36" s="91">
        <f t="shared" si="29"/>
        <v>46.976057499999996</v>
      </c>
      <c r="T36" s="91">
        <v>0.853104</v>
      </c>
      <c r="U36" s="91">
        <f t="shared" si="30"/>
        <v>39.6446835</v>
      </c>
      <c r="V36" s="91">
        <v>0.642482</v>
      </c>
      <c r="W36" s="91">
        <f t="shared" si="31"/>
        <v>28.234937000000002</v>
      </c>
      <c r="X36" s="91">
        <v>0.512307</v>
      </c>
      <c r="Y36" s="91">
        <f t="shared" si="32"/>
        <v>23.791090499999996</v>
      </c>
      <c r="Z36" s="91">
        <v>5.4448</v>
      </c>
      <c r="AA36" s="91">
        <f t="shared" si="33"/>
        <v>177.2184</v>
      </c>
      <c r="AB36" s="91">
        <v>4.58568</v>
      </c>
      <c r="AC36" s="91">
        <f t="shared" si="34"/>
        <v>206.58956999999998</v>
      </c>
      <c r="AD36" s="91">
        <f t="shared" si="22"/>
        <v>383.80796999999995</v>
      </c>
    </row>
    <row r="37" spans="1:30" ht="22.5" customHeight="1">
      <c r="A37" s="152" t="s">
        <v>693</v>
      </c>
      <c r="B37" s="91">
        <v>76</v>
      </c>
      <c r="C37" s="91">
        <v>5.014346</v>
      </c>
      <c r="D37" s="91">
        <v>2.41781</v>
      </c>
      <c r="E37" s="115">
        <f t="shared" si="23"/>
        <v>313.44987799999996</v>
      </c>
      <c r="F37" s="115">
        <f t="shared" si="24"/>
        <v>239.54614800000002</v>
      </c>
      <c r="G37" s="91">
        <f t="shared" si="25"/>
        <v>552.996026</v>
      </c>
      <c r="H37" s="91">
        <v>0.519484</v>
      </c>
      <c r="I37" s="91">
        <v>0.75</v>
      </c>
      <c r="J37" s="91">
        <v>0.75</v>
      </c>
      <c r="K37" s="91">
        <v>0.519484</v>
      </c>
      <c r="L37" s="115">
        <f t="shared" si="26"/>
        <v>96.48078399999999</v>
      </c>
      <c r="M37" s="115">
        <f t="shared" si="27"/>
        <v>96.48078399999999</v>
      </c>
      <c r="N37" s="91">
        <f t="shared" si="28"/>
        <v>192.961568</v>
      </c>
      <c r="O37" s="91">
        <f t="shared" si="19"/>
        <v>45.6</v>
      </c>
      <c r="P37" s="91">
        <f t="shared" si="20"/>
        <v>45.6</v>
      </c>
      <c r="Q37" s="91">
        <f t="shared" si="21"/>
        <v>91.2</v>
      </c>
      <c r="R37" s="91">
        <v>1.158038</v>
      </c>
      <c r="S37" s="91">
        <f t="shared" si="29"/>
        <v>84.57185</v>
      </c>
      <c r="T37" s="91">
        <v>0.688471</v>
      </c>
      <c r="U37" s="91">
        <f t="shared" si="30"/>
        <v>58.57984999999999</v>
      </c>
      <c r="V37" s="91">
        <v>0.695268</v>
      </c>
      <c r="W37" s="91">
        <f t="shared" si="31"/>
        <v>50.8345</v>
      </c>
      <c r="X37" s="91">
        <v>0.413528</v>
      </c>
      <c r="Y37" s="91">
        <f t="shared" si="32"/>
        <v>35.18173</v>
      </c>
      <c r="Z37" s="91">
        <v>5.80542</v>
      </c>
      <c r="AA37" s="91">
        <f t="shared" si="33"/>
        <v>427.5083599999999</v>
      </c>
      <c r="AB37" s="91">
        <v>3.92715</v>
      </c>
      <c r="AC37" s="91">
        <f t="shared" si="34"/>
        <v>323.48754</v>
      </c>
      <c r="AD37" s="91">
        <f t="shared" si="22"/>
        <v>750.9958999999999</v>
      </c>
    </row>
    <row r="38" spans="1:30" ht="22.5" customHeight="1">
      <c r="A38" s="152" t="s">
        <v>694</v>
      </c>
      <c r="B38" s="91">
        <v>48</v>
      </c>
      <c r="C38" s="91">
        <v>2.933919</v>
      </c>
      <c r="D38" s="91">
        <v>2.264374</v>
      </c>
      <c r="E38" s="115">
        <f t="shared" si="23"/>
        <v>190.75835999999998</v>
      </c>
      <c r="F38" s="115">
        <f t="shared" si="24"/>
        <v>112.37241599999999</v>
      </c>
      <c r="G38" s="91">
        <f t="shared" si="25"/>
        <v>303.13077599999997</v>
      </c>
      <c r="H38" s="91">
        <v>0.519484</v>
      </c>
      <c r="I38" s="91">
        <v>0.75</v>
      </c>
      <c r="J38" s="91">
        <v>0.75</v>
      </c>
      <c r="K38" s="91">
        <v>0.519484</v>
      </c>
      <c r="L38" s="115">
        <f t="shared" si="26"/>
        <v>60.93523199999999</v>
      </c>
      <c r="M38" s="115">
        <f t="shared" si="27"/>
        <v>60.93523199999999</v>
      </c>
      <c r="N38" s="91">
        <f t="shared" si="28"/>
        <v>121.870464</v>
      </c>
      <c r="O38" s="91">
        <f t="shared" si="19"/>
        <v>28.799999999999997</v>
      </c>
      <c r="P38" s="91">
        <f t="shared" si="20"/>
        <v>28.799999999999997</v>
      </c>
      <c r="Q38" s="91">
        <f t="shared" si="21"/>
        <v>57.599999999999994</v>
      </c>
      <c r="R38" s="91">
        <v>0.819623</v>
      </c>
      <c r="S38" s="91">
        <f t="shared" si="29"/>
        <v>47.463864</v>
      </c>
      <c r="T38" s="91">
        <v>0.623296</v>
      </c>
      <c r="U38" s="91">
        <f t="shared" si="30"/>
        <v>31.482408000000003</v>
      </c>
      <c r="V38" s="91">
        <v>0.4912</v>
      </c>
      <c r="W38" s="91">
        <f t="shared" si="31"/>
        <v>28.475232000000002</v>
      </c>
      <c r="X38" s="91">
        <v>0.374423</v>
      </c>
      <c r="Y38" s="91">
        <f t="shared" si="32"/>
        <v>18.910824</v>
      </c>
      <c r="Z38" s="91">
        <v>4.44497</v>
      </c>
      <c r="AA38" s="91">
        <f t="shared" si="33"/>
        <v>246.00936</v>
      </c>
      <c r="AB38" s="91">
        <v>3.67392</v>
      </c>
      <c r="AC38" s="91">
        <f t="shared" si="34"/>
        <v>182.42568</v>
      </c>
      <c r="AD38" s="91">
        <f t="shared" si="22"/>
        <v>428.43503999999996</v>
      </c>
    </row>
    <row r="39" spans="1:30" ht="22.5" customHeight="1">
      <c r="A39" s="91" t="s">
        <v>695</v>
      </c>
      <c r="B39" s="91">
        <v>127</v>
      </c>
      <c r="C39" s="91">
        <v>4.331249</v>
      </c>
      <c r="D39" s="91">
        <v>6.791083</v>
      </c>
      <c r="E39" s="115">
        <f t="shared" si="23"/>
        <v>461.33816799999994</v>
      </c>
      <c r="F39" s="115">
        <f t="shared" si="24"/>
        <v>575.0215195000001</v>
      </c>
      <c r="G39" s="91">
        <f t="shared" si="25"/>
        <v>1036.3596875</v>
      </c>
      <c r="H39" s="91">
        <v>0.519484</v>
      </c>
      <c r="I39" s="91">
        <v>0.75</v>
      </c>
      <c r="J39" s="91">
        <v>0.75</v>
      </c>
      <c r="K39" s="91">
        <v>0.519484</v>
      </c>
      <c r="L39" s="115">
        <f t="shared" si="26"/>
        <v>161.22446799999997</v>
      </c>
      <c r="M39" s="115">
        <f t="shared" si="27"/>
        <v>161.22446799999997</v>
      </c>
      <c r="N39" s="91">
        <f t="shared" si="28"/>
        <v>322.448936</v>
      </c>
      <c r="O39" s="91">
        <f t="shared" si="19"/>
        <v>76.2</v>
      </c>
      <c r="P39" s="91">
        <f t="shared" si="20"/>
        <v>76.2</v>
      </c>
      <c r="Q39" s="91">
        <f t="shared" si="21"/>
        <v>152.4</v>
      </c>
      <c r="R39" s="91">
        <v>1.289778</v>
      </c>
      <c r="S39" s="91">
        <f t="shared" si="29"/>
        <v>133.9469635</v>
      </c>
      <c r="T39" s="91">
        <v>1.712536</v>
      </c>
      <c r="U39" s="91">
        <f t="shared" si="30"/>
        <v>148.325332</v>
      </c>
      <c r="V39" s="91">
        <v>0.774312</v>
      </c>
      <c r="W39" s="91">
        <f t="shared" si="31"/>
        <v>80.360012</v>
      </c>
      <c r="X39" s="91">
        <v>1.027967</v>
      </c>
      <c r="Y39" s="91">
        <f t="shared" si="32"/>
        <v>89.051765</v>
      </c>
      <c r="Z39" s="91">
        <v>6.33238</v>
      </c>
      <c r="AA39" s="91">
        <f t="shared" si="33"/>
        <v>684.3617249999999</v>
      </c>
      <c r="AB39" s="91">
        <v>8.02341</v>
      </c>
      <c r="AC39" s="91">
        <f t="shared" si="34"/>
        <v>742.7804550000001</v>
      </c>
      <c r="AD39" s="91">
        <f t="shared" si="22"/>
        <v>1427.1421799999998</v>
      </c>
    </row>
    <row r="40" spans="1:30" ht="22.5" customHeight="1">
      <c r="A40" s="152" t="s">
        <v>696</v>
      </c>
      <c r="B40" s="91">
        <v>115</v>
      </c>
      <c r="C40" s="91">
        <v>5.026741</v>
      </c>
      <c r="D40" s="91">
        <v>3.087204</v>
      </c>
      <c r="E40" s="115">
        <f t="shared" si="23"/>
        <v>538.084425</v>
      </c>
      <c r="F40" s="115">
        <f t="shared" si="24"/>
        <v>568.0015025</v>
      </c>
      <c r="G40" s="91">
        <f t="shared" si="25"/>
        <v>1106.0859275</v>
      </c>
      <c r="H40" s="91">
        <v>0.519484</v>
      </c>
      <c r="I40" s="91">
        <v>0.75</v>
      </c>
      <c r="J40" s="91">
        <v>0.75</v>
      </c>
      <c r="K40" s="91">
        <v>0.519484</v>
      </c>
      <c r="L40" s="115">
        <f t="shared" si="26"/>
        <v>145.99066</v>
      </c>
      <c r="M40" s="115">
        <f t="shared" si="27"/>
        <v>145.99066</v>
      </c>
      <c r="N40" s="91">
        <f t="shared" si="28"/>
        <v>291.98132000000004</v>
      </c>
      <c r="O40" s="91">
        <f t="shared" si="19"/>
        <v>69</v>
      </c>
      <c r="P40" s="91">
        <f t="shared" si="20"/>
        <v>69</v>
      </c>
      <c r="Q40" s="91">
        <f t="shared" si="21"/>
        <v>138</v>
      </c>
      <c r="R40" s="91">
        <v>1.094985</v>
      </c>
      <c r="S40" s="91">
        <f t="shared" si="29"/>
        <v>137.12387250000003</v>
      </c>
      <c r="T40" s="91">
        <v>0.822987</v>
      </c>
      <c r="U40" s="91">
        <f t="shared" si="30"/>
        <v>145.7925725</v>
      </c>
      <c r="V40" s="91">
        <v>0.657436</v>
      </c>
      <c r="W40" s="91">
        <f t="shared" si="31"/>
        <v>82.32551</v>
      </c>
      <c r="X40" s="91">
        <v>0.494237</v>
      </c>
      <c r="Y40" s="91">
        <f t="shared" si="32"/>
        <v>87.52673</v>
      </c>
      <c r="Z40" s="91">
        <v>5.55321</v>
      </c>
      <c r="AA40" s="91">
        <f t="shared" si="33"/>
        <v>683.421425</v>
      </c>
      <c r="AB40" s="91">
        <v>4.46521</v>
      </c>
      <c r="AC40" s="91">
        <f t="shared" si="34"/>
        <v>718.0956500000001</v>
      </c>
      <c r="AD40" s="91">
        <f t="shared" si="22"/>
        <v>1401.5170750000002</v>
      </c>
    </row>
    <row r="41" spans="1:30" ht="22.5" customHeight="1">
      <c r="A41" s="152" t="s">
        <v>697</v>
      </c>
      <c r="B41" s="91">
        <v>79</v>
      </c>
      <c r="C41" s="91">
        <v>5.403125</v>
      </c>
      <c r="D41" s="91">
        <v>3.994474</v>
      </c>
      <c r="E41" s="115">
        <f t="shared" si="23"/>
        <v>411.979707</v>
      </c>
      <c r="F41" s="115">
        <f t="shared" si="24"/>
        <v>279.72628100000003</v>
      </c>
      <c r="G41" s="91">
        <f t="shared" si="25"/>
        <v>691.705988</v>
      </c>
      <c r="H41" s="91">
        <v>0.519484</v>
      </c>
      <c r="I41" s="91">
        <v>0.75</v>
      </c>
      <c r="J41" s="91">
        <v>0.75</v>
      </c>
      <c r="K41" s="91">
        <v>0.519484</v>
      </c>
      <c r="L41" s="115">
        <f t="shared" si="26"/>
        <v>100.28923599999999</v>
      </c>
      <c r="M41" s="115">
        <f t="shared" si="27"/>
        <v>100.28923599999999</v>
      </c>
      <c r="N41" s="91">
        <f t="shared" si="28"/>
        <v>200.578472</v>
      </c>
      <c r="O41" s="91">
        <f t="shared" si="19"/>
        <v>47.4</v>
      </c>
      <c r="P41" s="91">
        <f t="shared" si="20"/>
        <v>47.4</v>
      </c>
      <c r="Q41" s="91">
        <f t="shared" si="21"/>
        <v>94.8</v>
      </c>
      <c r="R41" s="91">
        <v>1.313202</v>
      </c>
      <c r="S41" s="91">
        <f t="shared" si="29"/>
        <v>95.1233865</v>
      </c>
      <c r="T41" s="91">
        <v>1.06542</v>
      </c>
      <c r="U41" s="91">
        <f t="shared" si="30"/>
        <v>74.5920765</v>
      </c>
      <c r="V41" s="91">
        <v>0.783886</v>
      </c>
      <c r="W41" s="91">
        <f t="shared" si="31"/>
        <v>56.932218999999996</v>
      </c>
      <c r="X41" s="91">
        <v>0.639697</v>
      </c>
      <c r="Y41" s="91">
        <f t="shared" si="32"/>
        <v>44.790393</v>
      </c>
      <c r="Z41" s="91">
        <v>6.3962</v>
      </c>
      <c r="AA41" s="91">
        <f t="shared" si="33"/>
        <v>472.00169500000004</v>
      </c>
      <c r="AB41" s="91">
        <v>5.43495</v>
      </c>
      <c r="AC41" s="91">
        <f t="shared" si="34"/>
        <v>391.05631999999997</v>
      </c>
      <c r="AD41" s="91">
        <f t="shared" si="22"/>
        <v>863.0580150000001</v>
      </c>
    </row>
    <row r="42" spans="1:30" ht="22.5" customHeight="1">
      <c r="A42" s="152" t="s">
        <v>698</v>
      </c>
      <c r="B42" s="91">
        <v>86</v>
      </c>
      <c r="C42" s="91">
        <v>5.638587</v>
      </c>
      <c r="D42" s="91">
        <v>3.013544</v>
      </c>
      <c r="E42" s="115">
        <f t="shared" si="23"/>
        <v>474.79361600000004</v>
      </c>
      <c r="F42" s="115">
        <f t="shared" si="24"/>
        <v>301.344774</v>
      </c>
      <c r="G42" s="91">
        <f t="shared" si="25"/>
        <v>776.13839</v>
      </c>
      <c r="H42" s="91">
        <v>0.519484</v>
      </c>
      <c r="I42" s="91">
        <v>0.75</v>
      </c>
      <c r="J42" s="91">
        <v>0.75</v>
      </c>
      <c r="K42" s="91">
        <v>0.519484</v>
      </c>
      <c r="L42" s="115">
        <f t="shared" si="26"/>
        <v>109.17562399999998</v>
      </c>
      <c r="M42" s="115">
        <f t="shared" si="27"/>
        <v>109.17562399999998</v>
      </c>
      <c r="N42" s="91">
        <f t="shared" si="28"/>
        <v>218.351248</v>
      </c>
      <c r="O42" s="91">
        <f t="shared" si="19"/>
        <v>51.6</v>
      </c>
      <c r="P42" s="91">
        <f t="shared" si="20"/>
        <v>51.6</v>
      </c>
      <c r="Q42" s="91">
        <f t="shared" si="21"/>
        <v>103.2</v>
      </c>
      <c r="R42" s="91">
        <v>1.42366</v>
      </c>
      <c r="S42" s="91">
        <f t="shared" si="29"/>
        <v>117.68506599999999</v>
      </c>
      <c r="T42" s="91">
        <v>0.895801</v>
      </c>
      <c r="U42" s="91">
        <f t="shared" si="30"/>
        <v>84.332503</v>
      </c>
      <c r="V42" s="91">
        <v>0.854641</v>
      </c>
      <c r="W42" s="91">
        <f t="shared" si="31"/>
        <v>70.456661</v>
      </c>
      <c r="X42" s="91">
        <v>0.537926</v>
      </c>
      <c r="Y42" s="91">
        <f t="shared" si="32"/>
        <v>50.637789000000005</v>
      </c>
      <c r="Z42" s="91">
        <v>6.86791</v>
      </c>
      <c r="AA42" s="91">
        <f t="shared" si="33"/>
        <v>570.35673</v>
      </c>
      <c r="AB42" s="91">
        <v>4.75647</v>
      </c>
      <c r="AC42" s="91">
        <f t="shared" si="34"/>
        <v>438.23106</v>
      </c>
      <c r="AD42" s="91">
        <f t="shared" si="22"/>
        <v>1008.58779</v>
      </c>
    </row>
    <row r="43" spans="1:30" ht="22.5" customHeight="1">
      <c r="A43" s="152" t="s">
        <v>699</v>
      </c>
      <c r="B43" s="91">
        <v>64</v>
      </c>
      <c r="C43" s="91">
        <v>4.942294</v>
      </c>
      <c r="D43" s="91">
        <v>3.639229</v>
      </c>
      <c r="E43" s="115">
        <f t="shared" si="23"/>
        <v>338.58819200000005</v>
      </c>
      <c r="F43" s="115">
        <f t="shared" si="24"/>
        <v>212.888736</v>
      </c>
      <c r="G43" s="91">
        <f t="shared" si="25"/>
        <v>551.476928</v>
      </c>
      <c r="H43" s="91">
        <v>0.519484</v>
      </c>
      <c r="I43" s="91">
        <v>0.75</v>
      </c>
      <c r="J43" s="91">
        <v>0.75</v>
      </c>
      <c r="K43" s="91">
        <v>0.519484</v>
      </c>
      <c r="L43" s="115">
        <f t="shared" si="26"/>
        <v>81.24697599999999</v>
      </c>
      <c r="M43" s="115">
        <f t="shared" si="27"/>
        <v>81.24697599999999</v>
      </c>
      <c r="N43" s="91">
        <f t="shared" si="28"/>
        <v>162.493952</v>
      </c>
      <c r="O43" s="91">
        <f t="shared" si="19"/>
        <v>38.4</v>
      </c>
      <c r="P43" s="91">
        <f t="shared" si="20"/>
        <v>38.4</v>
      </c>
      <c r="Q43" s="91">
        <f t="shared" si="21"/>
        <v>76.8</v>
      </c>
      <c r="R43" s="91">
        <v>1.145659</v>
      </c>
      <c r="S43" s="91">
        <f t="shared" si="29"/>
        <v>82.218208</v>
      </c>
      <c r="T43" s="91">
        <v>0.82298</v>
      </c>
      <c r="U43" s="91">
        <f t="shared" si="30"/>
        <v>55.000992</v>
      </c>
      <c r="V43" s="91">
        <v>0.686272</v>
      </c>
      <c r="W43" s="91">
        <f t="shared" si="31"/>
        <v>49.309216</v>
      </c>
      <c r="X43" s="91">
        <v>0.494233</v>
      </c>
      <c r="Y43" s="91">
        <f t="shared" si="32"/>
        <v>33.029088</v>
      </c>
      <c r="Z43" s="91">
        <v>5.74545</v>
      </c>
      <c r="AA43" s="91">
        <f t="shared" si="33"/>
        <v>403.62752</v>
      </c>
      <c r="AB43" s="91">
        <v>4.46519</v>
      </c>
      <c r="AC43" s="91">
        <f t="shared" si="34"/>
        <v>295.09312</v>
      </c>
      <c r="AD43" s="91">
        <f t="shared" si="22"/>
        <v>698.72064</v>
      </c>
    </row>
    <row r="44" spans="1:30" ht="22.5" customHeight="1">
      <c r="A44" s="152" t="s">
        <v>700</v>
      </c>
      <c r="B44" s="91">
        <v>106</v>
      </c>
      <c r="C44" s="91">
        <v>7.320722</v>
      </c>
      <c r="D44" s="91">
        <v>2.463145</v>
      </c>
      <c r="E44" s="115">
        <f t="shared" si="23"/>
        <v>649.939848</v>
      </c>
      <c r="F44" s="115">
        <f t="shared" si="24"/>
        <v>323.425822</v>
      </c>
      <c r="G44" s="91">
        <f t="shared" si="25"/>
        <v>973.3656699999999</v>
      </c>
      <c r="H44" s="91">
        <v>0.519484</v>
      </c>
      <c r="I44" s="91">
        <v>0.75</v>
      </c>
      <c r="J44" s="91">
        <v>0.75</v>
      </c>
      <c r="K44" s="91">
        <v>0.519484</v>
      </c>
      <c r="L44" s="115">
        <f t="shared" si="26"/>
        <v>134.56530399999997</v>
      </c>
      <c r="M44" s="115">
        <f t="shared" si="27"/>
        <v>134.56530399999997</v>
      </c>
      <c r="N44" s="91">
        <f t="shared" si="28"/>
        <v>269.130608</v>
      </c>
      <c r="O44" s="91">
        <f t="shared" si="19"/>
        <v>63.599999999999994</v>
      </c>
      <c r="P44" s="91">
        <f t="shared" si="20"/>
        <v>63.599999999999994</v>
      </c>
      <c r="Q44" s="91">
        <f t="shared" si="21"/>
        <v>127.19999999999999</v>
      </c>
      <c r="R44" s="91">
        <v>1.596755</v>
      </c>
      <c r="S44" s="91">
        <f t="shared" si="29"/>
        <v>145.34794200000002</v>
      </c>
      <c r="T44" s="91">
        <v>0.68663</v>
      </c>
      <c r="U44" s="91">
        <f t="shared" si="30"/>
        <v>80.00932999999999</v>
      </c>
      <c r="V44" s="91">
        <v>0.958498</v>
      </c>
      <c r="W44" s="91">
        <f t="shared" si="31"/>
        <v>87.17281</v>
      </c>
      <c r="X44" s="91">
        <v>0.412423</v>
      </c>
      <c r="Y44" s="91">
        <f t="shared" si="32"/>
        <v>48.05276799999999</v>
      </c>
      <c r="Z44" s="91">
        <v>7.56029</v>
      </c>
      <c r="AA44" s="91">
        <f t="shared" si="33"/>
        <v>705.20422</v>
      </c>
      <c r="AB44" s="91">
        <v>3.91979</v>
      </c>
      <c r="AC44" s="91">
        <f t="shared" si="34"/>
        <v>444.4039399999999</v>
      </c>
      <c r="AD44" s="91">
        <f t="shared" si="22"/>
        <v>1149.6081599999998</v>
      </c>
    </row>
    <row r="45" spans="1:30" ht="22.5" customHeight="1">
      <c r="A45" s="152" t="s">
        <v>701</v>
      </c>
      <c r="B45" s="91">
        <v>61</v>
      </c>
      <c r="C45" s="91">
        <v>5.806446</v>
      </c>
      <c r="D45" s="91">
        <v>2.731066</v>
      </c>
      <c r="E45" s="115">
        <f t="shared" si="23"/>
        <v>400.37862400000006</v>
      </c>
      <c r="F45" s="115">
        <f t="shared" si="24"/>
        <v>158.4234355</v>
      </c>
      <c r="G45" s="91">
        <f t="shared" si="25"/>
        <v>558.8020595</v>
      </c>
      <c r="H45" s="91">
        <v>0.519484</v>
      </c>
      <c r="I45" s="91">
        <v>0.75</v>
      </c>
      <c r="J45" s="91">
        <v>0.75</v>
      </c>
      <c r="K45" s="91">
        <v>0.519484</v>
      </c>
      <c r="L45" s="115">
        <f t="shared" si="26"/>
        <v>77.43852399999999</v>
      </c>
      <c r="M45" s="115">
        <f t="shared" si="27"/>
        <v>77.43852399999999</v>
      </c>
      <c r="N45" s="91">
        <f t="shared" si="28"/>
        <v>154.877048</v>
      </c>
      <c r="O45" s="91">
        <f t="shared" si="19"/>
        <v>36.6</v>
      </c>
      <c r="P45" s="91">
        <f t="shared" si="20"/>
        <v>36.6</v>
      </c>
      <c r="Q45" s="91">
        <f t="shared" si="21"/>
        <v>73.2</v>
      </c>
      <c r="R45" s="91">
        <v>1.596755</v>
      </c>
      <c r="S45" s="91">
        <f t="shared" si="29"/>
        <v>97.40205499999999</v>
      </c>
      <c r="T45" s="91">
        <v>0.746456</v>
      </c>
      <c r="U45" s="91">
        <f t="shared" si="30"/>
        <v>43.709123</v>
      </c>
      <c r="V45" s="91">
        <v>0.958498</v>
      </c>
      <c r="W45" s="91">
        <f t="shared" si="31"/>
        <v>58.468377999999994</v>
      </c>
      <c r="X45" s="91">
        <v>0.448107</v>
      </c>
      <c r="Y45" s="91">
        <f t="shared" si="32"/>
        <v>26.246165</v>
      </c>
      <c r="Z45" s="91">
        <v>7.56029</v>
      </c>
      <c r="AA45" s="91">
        <f t="shared" si="33"/>
        <v>461.17769</v>
      </c>
      <c r="AB45" s="91">
        <v>4.15909</v>
      </c>
      <c r="AC45" s="91">
        <f t="shared" si="34"/>
        <v>246.40583999999998</v>
      </c>
      <c r="AD45" s="91">
        <f t="shared" si="22"/>
        <v>707.58353</v>
      </c>
    </row>
    <row r="46" spans="1:30" ht="22.5" customHeight="1">
      <c r="A46" s="152" t="s">
        <v>702</v>
      </c>
      <c r="B46" s="91">
        <v>97</v>
      </c>
      <c r="C46" s="91">
        <v>3.604697</v>
      </c>
      <c r="D46" s="91">
        <v>5.817228</v>
      </c>
      <c r="E46" s="115">
        <f t="shared" si="23"/>
        <v>456.4404355</v>
      </c>
      <c r="F46" s="115">
        <f t="shared" si="24"/>
        <v>414.592259</v>
      </c>
      <c r="G46" s="91">
        <f t="shared" si="25"/>
        <v>871.0326945</v>
      </c>
      <c r="H46" s="91">
        <v>0.519484</v>
      </c>
      <c r="I46" s="91">
        <v>0.75</v>
      </c>
      <c r="J46" s="91">
        <v>0.75</v>
      </c>
      <c r="K46" s="91">
        <v>0.519484</v>
      </c>
      <c r="L46" s="115">
        <f t="shared" si="26"/>
        <v>123.13994799999999</v>
      </c>
      <c r="M46" s="115">
        <f t="shared" si="27"/>
        <v>123.13994799999999</v>
      </c>
      <c r="N46" s="91">
        <f t="shared" si="28"/>
        <v>246.279896</v>
      </c>
      <c r="O46" s="91">
        <f t="shared" si="19"/>
        <v>58.199999999999996</v>
      </c>
      <c r="P46" s="91">
        <f t="shared" si="20"/>
        <v>58.199999999999996</v>
      </c>
      <c r="Q46" s="91">
        <f t="shared" si="21"/>
        <v>116.39999999999999</v>
      </c>
      <c r="R46" s="91">
        <v>1.029679</v>
      </c>
      <c r="S46" s="91">
        <f t="shared" si="29"/>
        <v>127.38204899999998</v>
      </c>
      <c r="T46" s="91">
        <v>1.677098</v>
      </c>
      <c r="U46" s="91">
        <f t="shared" si="30"/>
        <v>117.54236900000001</v>
      </c>
      <c r="V46" s="91">
        <v>0.618252</v>
      </c>
      <c r="W46" s="91">
        <f t="shared" si="31"/>
        <v>76.472375</v>
      </c>
      <c r="X46" s="91">
        <v>0.998417</v>
      </c>
      <c r="Y46" s="91">
        <f t="shared" si="32"/>
        <v>70.156414</v>
      </c>
      <c r="Z46" s="91">
        <v>5.29198</v>
      </c>
      <c r="AA46" s="91">
        <f t="shared" si="33"/>
        <v>623.335095</v>
      </c>
      <c r="AB46" s="91">
        <v>7.88166</v>
      </c>
      <c r="AC46" s="91">
        <f t="shared" si="34"/>
        <v>583.976375</v>
      </c>
      <c r="AD46" s="91">
        <f t="shared" si="22"/>
        <v>1207.31147</v>
      </c>
    </row>
    <row r="47" spans="1:30" ht="22.5" customHeight="1">
      <c r="A47" s="91" t="s">
        <v>703</v>
      </c>
      <c r="B47" s="91">
        <v>54</v>
      </c>
      <c r="C47" s="91">
        <v>5.573325</v>
      </c>
      <c r="D47" s="91">
        <v>5.487461</v>
      </c>
      <c r="E47" s="115">
        <f t="shared" si="23"/>
        <v>247.80659399999996</v>
      </c>
      <c r="F47" s="115">
        <f t="shared" si="24"/>
        <v>305.226603</v>
      </c>
      <c r="G47" s="91">
        <f t="shared" si="25"/>
        <v>553.0331970000001</v>
      </c>
      <c r="H47" s="91">
        <v>0.519484</v>
      </c>
      <c r="I47" s="91">
        <v>0.75</v>
      </c>
      <c r="J47" s="91">
        <v>0.75</v>
      </c>
      <c r="K47" s="91">
        <v>0.519484</v>
      </c>
      <c r="L47" s="115">
        <f t="shared" si="26"/>
        <v>68.55213599999999</v>
      </c>
      <c r="M47" s="115">
        <f t="shared" si="27"/>
        <v>68.55213599999999</v>
      </c>
      <c r="N47" s="91">
        <f t="shared" si="28"/>
        <v>137.104272</v>
      </c>
      <c r="O47" s="91">
        <f t="shared" si="19"/>
        <v>32.4</v>
      </c>
      <c r="P47" s="91">
        <f t="shared" si="20"/>
        <v>32.4</v>
      </c>
      <c r="Q47" s="91">
        <f t="shared" si="21"/>
        <v>64.8</v>
      </c>
      <c r="R47" s="91">
        <v>1.652816</v>
      </c>
      <c r="S47" s="91">
        <f t="shared" si="29"/>
        <v>72.42736500000001</v>
      </c>
      <c r="T47" s="91">
        <v>1.726716</v>
      </c>
      <c r="U47" s="91">
        <f t="shared" si="30"/>
        <v>91.90297799999999</v>
      </c>
      <c r="V47" s="91">
        <v>0.995656</v>
      </c>
      <c r="W47" s="91">
        <f t="shared" si="31"/>
        <v>43.575516</v>
      </c>
      <c r="X47" s="91">
        <v>1.036475</v>
      </c>
      <c r="Y47" s="91">
        <f t="shared" si="32"/>
        <v>54.942084</v>
      </c>
      <c r="Z47" s="91">
        <v>7.808</v>
      </c>
      <c r="AA47" s="91">
        <f t="shared" si="33"/>
        <v>353.69946</v>
      </c>
      <c r="AB47" s="91">
        <v>8.08013</v>
      </c>
      <c r="AC47" s="91">
        <f t="shared" si="34"/>
        <v>430.96833000000004</v>
      </c>
      <c r="AD47" s="91">
        <f t="shared" si="22"/>
        <v>784.66779</v>
      </c>
    </row>
    <row r="48" spans="1:30" ht="22.5" customHeight="1">
      <c r="A48" s="152" t="s">
        <v>704</v>
      </c>
      <c r="B48" s="91">
        <v>26</v>
      </c>
      <c r="C48" s="91">
        <v>3.358955</v>
      </c>
      <c r="D48" s="91">
        <v>11.384661</v>
      </c>
      <c r="E48" s="115">
        <f t="shared" si="23"/>
        <v>116.11963999999998</v>
      </c>
      <c r="F48" s="115">
        <f t="shared" si="24"/>
        <v>219.33758599999996</v>
      </c>
      <c r="G48" s="91">
        <f t="shared" si="25"/>
        <v>335.457226</v>
      </c>
      <c r="H48" s="91">
        <v>0.519484</v>
      </c>
      <c r="I48" s="91">
        <v>0.75</v>
      </c>
      <c r="J48" s="91">
        <v>0.75</v>
      </c>
      <c r="K48" s="91">
        <v>0.519484</v>
      </c>
      <c r="L48" s="115">
        <f t="shared" si="26"/>
        <v>33.006584</v>
      </c>
      <c r="M48" s="115">
        <f t="shared" si="27"/>
        <v>33.006584</v>
      </c>
      <c r="N48" s="91">
        <f t="shared" si="28"/>
        <v>66.01316800000001</v>
      </c>
      <c r="O48" s="91">
        <f t="shared" si="19"/>
        <v>15.6</v>
      </c>
      <c r="P48" s="91">
        <f t="shared" si="20"/>
        <v>15.6</v>
      </c>
      <c r="Q48" s="91">
        <f t="shared" si="21"/>
        <v>31.2</v>
      </c>
      <c r="R48" s="91">
        <v>1.171205</v>
      </c>
      <c r="S48" s="91">
        <f t="shared" si="29"/>
        <v>36.712273</v>
      </c>
      <c r="T48" s="91">
        <v>2.304291</v>
      </c>
      <c r="U48" s="91">
        <f t="shared" si="30"/>
        <v>52.403090999999996</v>
      </c>
      <c r="V48" s="91">
        <v>0.704531</v>
      </c>
      <c r="W48" s="91">
        <f t="shared" si="31"/>
        <v>22.102431000000003</v>
      </c>
      <c r="X48" s="91">
        <v>1.383178</v>
      </c>
      <c r="Y48" s="91">
        <f t="shared" si="32"/>
        <v>31.455489000000004</v>
      </c>
      <c r="Z48" s="91">
        <v>5.86717</v>
      </c>
      <c r="AA48" s="91">
        <f t="shared" si="33"/>
        <v>177.77721</v>
      </c>
      <c r="AB48" s="91">
        <v>10.391</v>
      </c>
      <c r="AC48" s="91">
        <f t="shared" si="34"/>
        <v>240.12469000000004</v>
      </c>
      <c r="AD48" s="91">
        <f t="shared" si="22"/>
        <v>417.90190000000007</v>
      </c>
    </row>
    <row r="49" spans="1:30" ht="22.5" customHeight="1">
      <c r="A49" s="152" t="s">
        <v>705</v>
      </c>
      <c r="B49" s="91">
        <v>107</v>
      </c>
      <c r="C49" s="91">
        <v>5.32088</v>
      </c>
      <c r="D49" s="91">
        <v>7.182868</v>
      </c>
      <c r="E49" s="115">
        <f t="shared" si="23"/>
        <v>464.37117250000006</v>
      </c>
      <c r="F49" s="115">
        <f t="shared" si="24"/>
        <v>993.3628015</v>
      </c>
      <c r="G49" s="91">
        <f t="shared" si="25"/>
        <v>1457.7339739999998</v>
      </c>
      <c r="H49" s="91">
        <v>0.519484</v>
      </c>
      <c r="I49" s="91">
        <v>0.75</v>
      </c>
      <c r="J49" s="91">
        <v>0.75</v>
      </c>
      <c r="K49" s="91">
        <v>0.519484</v>
      </c>
      <c r="L49" s="115">
        <f t="shared" si="26"/>
        <v>135.83478799999997</v>
      </c>
      <c r="M49" s="115">
        <f t="shared" si="27"/>
        <v>135.83478799999997</v>
      </c>
      <c r="N49" s="91">
        <f t="shared" si="28"/>
        <v>271.669576</v>
      </c>
      <c r="O49" s="91">
        <f t="shared" si="19"/>
        <v>64.2</v>
      </c>
      <c r="P49" s="91">
        <f t="shared" si="20"/>
        <v>64.2</v>
      </c>
      <c r="Q49" s="91">
        <f t="shared" si="21"/>
        <v>128.4</v>
      </c>
      <c r="R49" s="91">
        <v>1.365916</v>
      </c>
      <c r="S49" s="91">
        <f t="shared" si="29"/>
        <v>135.7359735</v>
      </c>
      <c r="T49" s="91">
        <v>1.955766</v>
      </c>
      <c r="U49" s="91">
        <f t="shared" si="30"/>
        <v>227.9130495</v>
      </c>
      <c r="V49" s="91">
        <v>0.819995</v>
      </c>
      <c r="W49" s="91">
        <f t="shared" si="31"/>
        <v>81.562141</v>
      </c>
      <c r="X49" s="91">
        <v>1.173905</v>
      </c>
      <c r="Y49" s="91">
        <f t="shared" si="32"/>
        <v>136.8039405</v>
      </c>
      <c r="Z49" s="91">
        <v>6.63693</v>
      </c>
      <c r="AA49" s="91">
        <f t="shared" si="33"/>
        <v>668.9693500000001</v>
      </c>
      <c r="AB49" s="91">
        <v>8.99633</v>
      </c>
      <c r="AC49" s="91">
        <f t="shared" si="34"/>
        <v>1037.222155</v>
      </c>
      <c r="AD49" s="91">
        <f t="shared" si="22"/>
        <v>1706.191505</v>
      </c>
    </row>
    <row r="50" spans="1:30" ht="22.5" customHeight="1">
      <c r="A50" s="152" t="s">
        <v>706</v>
      </c>
      <c r="B50" s="91">
        <v>114</v>
      </c>
      <c r="C50" s="91">
        <v>3.733775</v>
      </c>
      <c r="D50" s="91">
        <v>14.523642</v>
      </c>
      <c r="E50" s="115">
        <f t="shared" si="23"/>
        <v>516.1153350000001</v>
      </c>
      <c r="F50" s="115">
        <f t="shared" si="24"/>
        <v>1237.27107</v>
      </c>
      <c r="G50" s="91">
        <f t="shared" si="25"/>
        <v>1753.3864050000002</v>
      </c>
      <c r="H50" s="91">
        <v>0.519484</v>
      </c>
      <c r="I50" s="91">
        <v>0.75</v>
      </c>
      <c r="J50" s="91">
        <v>1.75</v>
      </c>
      <c r="K50" s="91">
        <v>1.519484</v>
      </c>
      <c r="L50" s="115">
        <f t="shared" si="26"/>
        <v>144.72117599999999</v>
      </c>
      <c r="M50" s="115">
        <f t="shared" si="27"/>
        <v>258.721176</v>
      </c>
      <c r="N50" s="91">
        <f t="shared" si="28"/>
        <v>403.4423520000001</v>
      </c>
      <c r="O50" s="91">
        <f t="shared" si="19"/>
        <v>68.39999999999999</v>
      </c>
      <c r="P50" s="91">
        <f t="shared" si="20"/>
        <v>68.39999999999999</v>
      </c>
      <c r="Q50" s="91">
        <f t="shared" si="21"/>
        <v>136.79999999999998</v>
      </c>
      <c r="R50" s="91">
        <v>0.850659</v>
      </c>
      <c r="S50" s="91">
        <f t="shared" si="29"/>
        <v>126.34477499999998</v>
      </c>
      <c r="T50" s="91">
        <v>1.596755</v>
      </c>
      <c r="U50" s="91">
        <f t="shared" si="30"/>
        <v>202.49369699999997</v>
      </c>
      <c r="V50" s="91">
        <v>0.51084</v>
      </c>
      <c r="W50" s="91">
        <f t="shared" si="31"/>
        <v>75.857595</v>
      </c>
      <c r="X50" s="91">
        <v>0.958498</v>
      </c>
      <c r="Y50" s="91">
        <f t="shared" si="32"/>
        <v>121.546971</v>
      </c>
      <c r="Z50" s="91">
        <v>4.5759</v>
      </c>
      <c r="AA50" s="91">
        <f t="shared" si="33"/>
        <v>639.13131</v>
      </c>
      <c r="AB50" s="91">
        <v>7.56029</v>
      </c>
      <c r="AC50" s="91">
        <f t="shared" si="34"/>
        <v>943.7273400000001</v>
      </c>
      <c r="AD50" s="91">
        <f t="shared" si="22"/>
        <v>1582.8586500000001</v>
      </c>
    </row>
    <row r="51" spans="1:30" ht="22.5" customHeight="1">
      <c r="A51" s="160" t="s">
        <v>707</v>
      </c>
      <c r="B51" s="153">
        <v>84</v>
      </c>
      <c r="C51" s="153">
        <v>3.845334</v>
      </c>
      <c r="D51" s="153">
        <v>2.813743</v>
      </c>
      <c r="E51" s="115">
        <f t="shared" si="23"/>
        <v>318.322578</v>
      </c>
      <c r="F51" s="115">
        <f t="shared" si="24"/>
        <v>728.1701700000001</v>
      </c>
      <c r="G51" s="153">
        <f t="shared" si="25"/>
        <v>1046.4927480000001</v>
      </c>
      <c r="H51" s="153">
        <v>0.519484</v>
      </c>
      <c r="I51" s="153">
        <v>0.75</v>
      </c>
      <c r="J51" s="153">
        <v>2.75</v>
      </c>
      <c r="K51" s="153">
        <v>2.519484</v>
      </c>
      <c r="L51" s="115">
        <f t="shared" si="26"/>
        <v>106.63665599999999</v>
      </c>
      <c r="M51" s="115">
        <f t="shared" si="27"/>
        <v>358.636656</v>
      </c>
      <c r="N51" s="153">
        <f t="shared" si="28"/>
        <v>465.27331200000003</v>
      </c>
      <c r="O51" s="91">
        <f t="shared" si="19"/>
        <v>50.4</v>
      </c>
      <c r="P51" s="91">
        <f t="shared" si="20"/>
        <v>50.4</v>
      </c>
      <c r="Q51" s="153">
        <f t="shared" si="21"/>
        <v>100.8</v>
      </c>
      <c r="R51" s="153">
        <v>0.868368</v>
      </c>
      <c r="S51" s="153">
        <f t="shared" si="29"/>
        <v>72.199134</v>
      </c>
      <c r="T51" s="153">
        <v>1.029335</v>
      </c>
      <c r="U51" s="153">
        <f t="shared" si="30"/>
        <v>110.29578000000001</v>
      </c>
      <c r="V51" s="153">
        <v>0.521466</v>
      </c>
      <c r="W51" s="153">
        <f t="shared" si="31"/>
        <v>43.356851999999996</v>
      </c>
      <c r="X51" s="153">
        <v>0.618046</v>
      </c>
      <c r="Y51" s="153">
        <f t="shared" si="32"/>
        <v>66.214848</v>
      </c>
      <c r="Z51" s="153">
        <v>4.64674</v>
      </c>
      <c r="AA51" s="153">
        <f t="shared" si="33"/>
        <v>387.35088</v>
      </c>
      <c r="AB51" s="153">
        <v>6.702</v>
      </c>
      <c r="AC51" s="153">
        <f t="shared" si="34"/>
        <v>599.01618</v>
      </c>
      <c r="AD51" s="153">
        <f t="shared" si="22"/>
        <v>986.36706</v>
      </c>
    </row>
    <row r="52" spans="1:30" ht="22.5" customHeight="1">
      <c r="A52" s="168">
        <f>6053-4022</f>
        <v>2031</v>
      </c>
      <c r="B52" s="89">
        <f>SUM(B25:B51)</f>
        <v>2339</v>
      </c>
      <c r="C52" s="89"/>
      <c r="D52" s="89"/>
      <c r="E52" s="89">
        <f>SUM(E27:E51)</f>
        <v>13427.345816000003</v>
      </c>
      <c r="F52" s="89">
        <f>SUM(F27:F51)</f>
        <v>12283.818554</v>
      </c>
      <c r="G52" s="89">
        <f>SUM(G27:G51)</f>
        <v>30221.58623200001</v>
      </c>
      <c r="H52" s="89"/>
      <c r="I52" s="89"/>
      <c r="J52" s="89"/>
      <c r="K52" s="89"/>
      <c r="L52" s="89">
        <f aca="true" t="shared" si="35" ref="L52:Q52">SUM(L27:L51)</f>
        <v>2933.7775240000005</v>
      </c>
      <c r="M52" s="89">
        <f t="shared" si="35"/>
        <v>3299.7775240000005</v>
      </c>
      <c r="N52" s="89">
        <f t="shared" si="35"/>
        <v>7122.209496000001</v>
      </c>
      <c r="O52" s="89">
        <f t="shared" si="35"/>
        <v>1386.6000000000001</v>
      </c>
      <c r="P52" s="89">
        <f t="shared" si="35"/>
        <v>1386.6000000000001</v>
      </c>
      <c r="Q52" s="89">
        <f t="shared" si="35"/>
        <v>3226.8</v>
      </c>
      <c r="R52" s="89"/>
      <c r="S52" s="89">
        <f>SUM(S27:S51)</f>
        <v>3035.4282525000003</v>
      </c>
      <c r="T52" s="89"/>
      <c r="U52" s="89">
        <f>SUM(U27:U51)</f>
        <v>4212.958194000002</v>
      </c>
      <c r="V52" s="89"/>
      <c r="W52" s="89">
        <f>SUM(W27:W51)</f>
        <v>1822.0072115000003</v>
      </c>
      <c r="X52" s="89"/>
      <c r="Y52" s="89">
        <f>SUM(Y27:Y51)</f>
        <v>2528.0936305</v>
      </c>
      <c r="Z52" s="89"/>
      <c r="AA52" s="89">
        <f>SUM(AA27:AA51)</f>
        <v>14575.375530000001</v>
      </c>
      <c r="AB52" s="89"/>
      <c r="AC52" s="89">
        <f>SUM(AC27:AC51)</f>
        <v>15072.357914999999</v>
      </c>
      <c r="AD52" s="89">
        <f>SUM(AD27:AD51)</f>
        <v>34851.033444999994</v>
      </c>
    </row>
    <row r="53" spans="1:30" ht="22.5" customHeight="1">
      <c r="A53" s="168"/>
      <c r="B53" s="89">
        <f>B52+B19</f>
        <v>3703</v>
      </c>
      <c r="C53" s="89"/>
      <c r="D53" s="89"/>
      <c r="E53" s="89"/>
      <c r="F53" s="89">
        <f>SUM(E52:F52)</f>
        <v>25711.164370000002</v>
      </c>
      <c r="G53" s="89"/>
      <c r="H53" s="89"/>
      <c r="I53" s="89"/>
      <c r="J53" s="89"/>
      <c r="K53" s="89"/>
      <c r="L53" s="89"/>
      <c r="M53" s="89">
        <f>SUM(L52:M52)</f>
        <v>6233.555048000001</v>
      </c>
      <c r="N53" s="89"/>
      <c r="O53" s="89"/>
      <c r="P53" s="89">
        <f>SUM(O52:P52)</f>
        <v>2773.2000000000003</v>
      </c>
      <c r="Q53" s="89"/>
      <c r="R53" s="89"/>
      <c r="S53" s="89"/>
      <c r="T53" s="89"/>
      <c r="U53" s="89">
        <f>SUM(S52:U52)</f>
        <v>7248.386446500002</v>
      </c>
      <c r="V53" s="89"/>
      <c r="W53" s="89"/>
      <c r="X53" s="89"/>
      <c r="Y53" s="89">
        <f>SUM(W52:Y52)</f>
        <v>4350.100842</v>
      </c>
      <c r="Z53" s="89"/>
      <c r="AA53" s="89"/>
      <c r="AB53" s="89"/>
      <c r="AC53" s="89">
        <f>SUM(AA52:AC52)</f>
        <v>29647.733444999998</v>
      </c>
      <c r="AD53" s="89"/>
    </row>
    <row r="54" spans="1:30" ht="24" customHeight="1">
      <c r="A54" s="169"/>
      <c r="B54" s="170"/>
      <c r="C54" s="170"/>
      <c r="D54" s="170"/>
      <c r="E54" s="170"/>
      <c r="F54" s="170"/>
      <c r="G54" s="171">
        <f>SUM(G25:G51)</f>
        <v>30499.064370000007</v>
      </c>
      <c r="H54" s="170"/>
      <c r="I54" s="170"/>
      <c r="J54" s="170"/>
      <c r="K54" s="170"/>
      <c r="L54" s="170"/>
      <c r="M54" s="170"/>
      <c r="N54" s="171">
        <v>2394.7665275</v>
      </c>
      <c r="O54" s="171"/>
      <c r="P54" s="171"/>
      <c r="Q54" s="171">
        <v>2394.7665275</v>
      </c>
      <c r="R54" s="170"/>
      <c r="S54" s="171">
        <f>SUM(S25:S51)</f>
        <v>3080.1386525000003</v>
      </c>
      <c r="T54" s="170"/>
      <c r="U54" s="171">
        <f>SUM(U25:U51)</f>
        <v>4267.720594000001</v>
      </c>
      <c r="V54" s="170"/>
      <c r="W54" s="171">
        <f>SUM(W25:W51)</f>
        <v>1848.8452115</v>
      </c>
      <c r="X54" s="170"/>
      <c r="Y54" s="171">
        <f>SUM(Y25:Y51)</f>
        <v>2560.9628304999997</v>
      </c>
      <c r="Z54" s="170"/>
      <c r="AA54" s="170"/>
      <c r="AB54" s="170"/>
      <c r="AC54" s="170"/>
      <c r="AD54" s="171">
        <f>SUM(AD25:AD51)</f>
        <v>35314.61824499999</v>
      </c>
    </row>
    <row r="55" spans="1:2" ht="13.5">
      <c r="A55" s="87">
        <f>6053-5969</f>
        <v>84</v>
      </c>
      <c r="B55" s="88">
        <f>B53+'[2]01'!B39</f>
        <v>6361</v>
      </c>
    </row>
  </sheetData>
  <sheetProtection/>
  <mergeCells count="16">
    <mergeCell ref="A1:AD1"/>
    <mergeCell ref="C2:D2"/>
    <mergeCell ref="E2:F2"/>
    <mergeCell ref="H2:K2"/>
    <mergeCell ref="L2:M2"/>
    <mergeCell ref="O2:P2"/>
    <mergeCell ref="R2:U2"/>
    <mergeCell ref="V2:Y2"/>
    <mergeCell ref="Z2:AD2"/>
    <mergeCell ref="AE2:AI2"/>
    <mergeCell ref="A22:AD22"/>
    <mergeCell ref="A2:A3"/>
    <mergeCell ref="B2:B3"/>
    <mergeCell ref="G2:G3"/>
    <mergeCell ref="N2:N3"/>
    <mergeCell ref="Q2:Q3"/>
  </mergeCells>
  <printOptions/>
  <pageMargins left="0.75" right="0.75" top="1" bottom="1" header="0.51" footer="0.51"/>
  <pageSetup horizontalDpi="600" verticalDpi="6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J57"/>
  <sheetViews>
    <sheetView workbookViewId="0" topLeftCell="S1">
      <selection activeCell="A7" sqref="A7"/>
    </sheetView>
  </sheetViews>
  <sheetFormatPr defaultColWidth="8.125" defaultRowHeight="14.25"/>
  <cols>
    <col min="1" max="1" width="16.00390625" style="67" customWidth="1"/>
    <col min="2" max="2" width="13.25390625" style="68" customWidth="1"/>
    <col min="3" max="3" width="10.25390625" style="68" customWidth="1"/>
    <col min="4" max="6" width="10.125" style="68" customWidth="1"/>
    <col min="7" max="7" width="12.125" style="68" customWidth="1"/>
    <col min="8" max="16" width="8.125" style="68" customWidth="1"/>
    <col min="17" max="17" width="9.625" style="68" customWidth="1"/>
    <col min="18" max="18" width="13.75390625" style="68" customWidth="1"/>
    <col min="19" max="19" width="11.375" style="68" customWidth="1"/>
    <col min="20" max="20" width="11.00390625" style="68" customWidth="1"/>
    <col min="21" max="21" width="12.00390625" style="68" customWidth="1"/>
    <col min="22" max="22" width="13.875" style="68" customWidth="1"/>
    <col min="23" max="23" width="12.00390625" style="68" customWidth="1"/>
    <col min="24" max="24" width="13.00390625" style="68" customWidth="1"/>
    <col min="25" max="25" width="11.875" style="68" customWidth="1"/>
    <col min="26" max="26" width="8.125" style="68" customWidth="1"/>
    <col min="27" max="27" width="10.75390625" style="68" customWidth="1"/>
    <col min="28" max="28" width="10.50390625" style="68" customWidth="1"/>
    <col min="29" max="29" width="10.625" style="68" customWidth="1"/>
    <col min="30" max="30" width="11.25390625" style="68" customWidth="1"/>
    <col min="31" max="16384" width="8.125" style="67" customWidth="1"/>
  </cols>
  <sheetData>
    <row r="1" spans="1:30" ht="22.5">
      <c r="A1" s="541" t="s">
        <v>631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</row>
    <row r="2" spans="1:35" ht="15.75">
      <c r="A2" s="448" t="s">
        <v>426</v>
      </c>
      <c r="B2" s="448" t="s">
        <v>632</v>
      </c>
      <c r="C2" s="448" t="s">
        <v>633</v>
      </c>
      <c r="D2" s="448"/>
      <c r="E2" s="536" t="s">
        <v>634</v>
      </c>
      <c r="F2" s="537"/>
      <c r="G2" s="448" t="s">
        <v>635</v>
      </c>
      <c r="H2" s="448" t="s">
        <v>636</v>
      </c>
      <c r="I2" s="448"/>
      <c r="J2" s="448"/>
      <c r="K2" s="448"/>
      <c r="L2" s="536" t="s">
        <v>637</v>
      </c>
      <c r="M2" s="537"/>
      <c r="N2" s="448" t="s">
        <v>638</v>
      </c>
      <c r="O2" s="536" t="s">
        <v>639</v>
      </c>
      <c r="P2" s="537"/>
      <c r="Q2" s="448" t="s">
        <v>640</v>
      </c>
      <c r="R2" s="448" t="s">
        <v>641</v>
      </c>
      <c r="S2" s="446"/>
      <c r="T2" s="446"/>
      <c r="U2" s="446"/>
      <c r="V2" s="448" t="s">
        <v>642</v>
      </c>
      <c r="W2" s="446"/>
      <c r="X2" s="446"/>
      <c r="Y2" s="446"/>
      <c r="Z2" s="448" t="s">
        <v>643</v>
      </c>
      <c r="AA2" s="448"/>
      <c r="AB2" s="448"/>
      <c r="AC2" s="448"/>
      <c r="AD2" s="448"/>
      <c r="AE2" s="538" t="s">
        <v>644</v>
      </c>
      <c r="AF2" s="538"/>
      <c r="AG2" s="538"/>
      <c r="AH2" s="538"/>
      <c r="AI2" s="538"/>
    </row>
    <row r="3" spans="1:35" ht="15.75">
      <c r="A3" s="448"/>
      <c r="B3" s="448"/>
      <c r="C3" s="8" t="s">
        <v>461</v>
      </c>
      <c r="D3" s="134" t="s">
        <v>460</v>
      </c>
      <c r="E3" s="8" t="s">
        <v>461</v>
      </c>
      <c r="F3" s="134" t="s">
        <v>460</v>
      </c>
      <c r="G3" s="448"/>
      <c r="H3" s="12" t="s">
        <v>645</v>
      </c>
      <c r="I3" s="8" t="s">
        <v>646</v>
      </c>
      <c r="J3" s="12" t="s">
        <v>647</v>
      </c>
      <c r="K3" s="8" t="s">
        <v>648</v>
      </c>
      <c r="L3" s="8" t="s">
        <v>461</v>
      </c>
      <c r="M3" s="134" t="s">
        <v>460</v>
      </c>
      <c r="N3" s="448"/>
      <c r="O3" s="8" t="s">
        <v>461</v>
      </c>
      <c r="P3" s="134" t="s">
        <v>460</v>
      </c>
      <c r="Q3" s="448"/>
      <c r="R3" s="12" t="s">
        <v>649</v>
      </c>
      <c r="S3" s="12" t="s">
        <v>650</v>
      </c>
      <c r="T3" s="12" t="s">
        <v>651</v>
      </c>
      <c r="U3" s="12" t="s">
        <v>652</v>
      </c>
      <c r="V3" s="12" t="s">
        <v>653</v>
      </c>
      <c r="W3" s="12" t="s">
        <v>654</v>
      </c>
      <c r="X3" s="12" t="s">
        <v>655</v>
      </c>
      <c r="Y3" s="12" t="s">
        <v>656</v>
      </c>
      <c r="Z3" s="8" t="s">
        <v>657</v>
      </c>
      <c r="AA3" s="12" t="s">
        <v>658</v>
      </c>
      <c r="AB3" s="8" t="s">
        <v>659</v>
      </c>
      <c r="AC3" s="12" t="s">
        <v>660</v>
      </c>
      <c r="AD3" s="12" t="s">
        <v>661</v>
      </c>
      <c r="AE3" s="67" t="s">
        <v>662</v>
      </c>
      <c r="AF3" s="147" t="s">
        <v>663</v>
      </c>
      <c r="AG3" s="67" t="s">
        <v>664</v>
      </c>
      <c r="AH3" s="147" t="s">
        <v>665</v>
      </c>
      <c r="AI3" s="147" t="s">
        <v>666</v>
      </c>
    </row>
    <row r="4" spans="1:36" ht="22.5" customHeight="1">
      <c r="A4" s="12" t="s">
        <v>667</v>
      </c>
      <c r="B4" s="12">
        <v>0</v>
      </c>
      <c r="C4" s="8">
        <v>10.062262</v>
      </c>
      <c r="D4" s="8">
        <v>3.257767</v>
      </c>
      <c r="E4" s="8"/>
      <c r="F4" s="8"/>
      <c r="G4" s="8">
        <v>0</v>
      </c>
      <c r="H4" s="8">
        <v>0.519484</v>
      </c>
      <c r="I4" s="8">
        <v>0.75</v>
      </c>
      <c r="J4" s="8">
        <v>0.75</v>
      </c>
      <c r="K4" s="8">
        <v>0.518287</v>
      </c>
      <c r="L4" s="8"/>
      <c r="M4" s="8"/>
      <c r="N4" s="12">
        <v>0</v>
      </c>
      <c r="O4" s="12"/>
      <c r="P4" s="12"/>
      <c r="Q4" s="12">
        <v>0</v>
      </c>
      <c r="R4" s="8">
        <v>1.476277</v>
      </c>
      <c r="S4" s="12">
        <v>0</v>
      </c>
      <c r="T4" s="8">
        <v>0.736623</v>
      </c>
      <c r="U4" s="12">
        <v>0</v>
      </c>
      <c r="V4" s="8">
        <v>0.886211</v>
      </c>
      <c r="W4" s="12">
        <v>0</v>
      </c>
      <c r="X4" s="8">
        <v>0.442419</v>
      </c>
      <c r="Y4" s="12">
        <v>0</v>
      </c>
      <c r="Z4" s="8">
        <v>7.10919</v>
      </c>
      <c r="AA4" s="12">
        <v>0</v>
      </c>
      <c r="AB4" s="8">
        <v>4.15057</v>
      </c>
      <c r="AC4" s="12">
        <v>0</v>
      </c>
      <c r="AD4" s="8">
        <v>0</v>
      </c>
      <c r="AE4" s="67">
        <v>6.64614</v>
      </c>
      <c r="AF4" s="67">
        <v>0</v>
      </c>
      <c r="AG4" s="67">
        <v>3.62068</v>
      </c>
      <c r="AH4" s="67">
        <v>0</v>
      </c>
      <c r="AI4" s="67">
        <v>0</v>
      </c>
      <c r="AJ4" s="65">
        <v>6.64614</v>
      </c>
    </row>
    <row r="5" spans="1:36" ht="22.5" customHeight="1">
      <c r="A5" s="8" t="s">
        <v>668</v>
      </c>
      <c r="B5" s="8">
        <v>33</v>
      </c>
      <c r="C5" s="8">
        <v>10.062262</v>
      </c>
      <c r="D5" s="8">
        <v>3.257767</v>
      </c>
      <c r="E5" s="79">
        <f>(C5+C4)/2*B5</f>
        <v>332.054646</v>
      </c>
      <c r="F5" s="79">
        <f>(D5+D4)/2*B5</f>
        <v>107.506311</v>
      </c>
      <c r="G5" s="8">
        <f>(D5+D4+C5+C4)/2*B5</f>
        <v>439.560957</v>
      </c>
      <c r="H5" s="8">
        <v>0.519484</v>
      </c>
      <c r="I5" s="8">
        <v>0.75</v>
      </c>
      <c r="J5" s="8">
        <v>0.75</v>
      </c>
      <c r="K5" s="8">
        <v>0.518287</v>
      </c>
      <c r="L5" s="79">
        <f>(H5+H4+I5+I4)/2*B5</f>
        <v>41.89297199999999</v>
      </c>
      <c r="M5" s="79">
        <f>SUM(J5+J4+K5+K4)/2*B5</f>
        <v>41.853471</v>
      </c>
      <c r="N5" s="12">
        <f>(K5+K4+J5+J4+I5+I4+H4+H5)/2*B5</f>
        <v>83.74644300000001</v>
      </c>
      <c r="O5" s="12"/>
      <c r="P5" s="12"/>
      <c r="Q5" s="12">
        <f aca="true" t="shared" si="0" ref="Q5:Q17">1.2*B5</f>
        <v>39.6</v>
      </c>
      <c r="R5" s="8">
        <v>1.476277</v>
      </c>
      <c r="S5" s="8">
        <f aca="true" t="shared" si="1" ref="S5:S17">(R5+R4)/2*B5</f>
        <v>48.717141000000005</v>
      </c>
      <c r="T5" s="8">
        <v>0.736623</v>
      </c>
      <c r="U5" s="8">
        <f aca="true" t="shared" si="2" ref="U5:U17">(T5+T4)/2*B5</f>
        <v>24.308559000000002</v>
      </c>
      <c r="V5" s="8">
        <v>0.886211</v>
      </c>
      <c r="W5" s="8">
        <f aca="true" t="shared" si="3" ref="W5:W17">(V5+V4)/2*B5</f>
        <v>29.244963</v>
      </c>
      <c r="X5" s="8">
        <v>0.442419</v>
      </c>
      <c r="Y5" s="8">
        <f aca="true" t="shared" si="4" ref="Y5:Y17">(X5+X4)/2*B5</f>
        <v>14.599827</v>
      </c>
      <c r="Z5" s="8">
        <v>7.10919</v>
      </c>
      <c r="AA5" s="8">
        <f aca="true" t="shared" si="5" ref="AA5:AA17">(Z5+Z4)/2*B5</f>
        <v>234.60327</v>
      </c>
      <c r="AB5" s="8">
        <v>4.15057</v>
      </c>
      <c r="AC5" s="8">
        <f aca="true" t="shared" si="6" ref="AC5:AC17">(AB5+AB4)/2*B5</f>
        <v>136.96881</v>
      </c>
      <c r="AD5" s="8">
        <f>AC5+AA5</f>
        <v>371.57208</v>
      </c>
      <c r="AE5" s="67">
        <v>6.64614</v>
      </c>
      <c r="AF5" s="67">
        <f>(AE4+AE5)/2*B5</f>
        <v>219.32262</v>
      </c>
      <c r="AG5" s="67">
        <v>3.62068</v>
      </c>
      <c r="AH5" s="67">
        <f>(AG5+AG4)/2*B5</f>
        <v>119.48244</v>
      </c>
      <c r="AI5" s="67">
        <f aca="true" t="shared" si="7" ref="AI5:AI17">AF5+AH5</f>
        <v>338.80506</v>
      </c>
      <c r="AJ5" s="65">
        <v>6.64614</v>
      </c>
    </row>
    <row r="6" spans="1:36" ht="22.5" customHeight="1">
      <c r="A6" s="8" t="s">
        <v>669</v>
      </c>
      <c r="B6" s="8">
        <v>81</v>
      </c>
      <c r="C6" s="8">
        <v>10.304674</v>
      </c>
      <c r="D6" s="8">
        <v>18.884361</v>
      </c>
      <c r="E6" s="79">
        <f aca="true" t="shared" si="8" ref="E6:E17">(C6+C5)/2*B6</f>
        <v>824.8609080000001</v>
      </c>
      <c r="F6" s="79">
        <f aca="true" t="shared" si="9" ref="F6:F17">(D6+D5)/2*B6</f>
        <v>896.756184</v>
      </c>
      <c r="G6" s="8">
        <f aca="true" t="shared" si="10" ref="G6:G17">(D6+D5+C6+C5)/2*B6</f>
        <v>1721.6170919999997</v>
      </c>
      <c r="H6" s="8">
        <v>0.519484</v>
      </c>
      <c r="I6" s="8">
        <v>0.75</v>
      </c>
      <c r="J6" s="8">
        <v>0.75</v>
      </c>
      <c r="K6" s="8">
        <v>0.519484</v>
      </c>
      <c r="L6" s="79">
        <f aca="true" t="shared" si="11" ref="L6:L17">(H6+H5+I6+I5)/2*B6</f>
        <v>102.82820399999999</v>
      </c>
      <c r="M6" s="79">
        <f aca="true" t="shared" si="12" ref="M6:M17">SUM(J6+J5+K6+K5)/2*B6</f>
        <v>102.7797255</v>
      </c>
      <c r="N6" s="12">
        <f aca="true" t="shared" si="13" ref="N6:N17">(K6+K5+J6+J5+I6+I5+H5+H6)/2*B6</f>
        <v>205.60792950000004</v>
      </c>
      <c r="O6" s="12"/>
      <c r="P6" s="12"/>
      <c r="Q6" s="12">
        <f t="shared" si="0"/>
        <v>97.2</v>
      </c>
      <c r="R6" s="8">
        <v>1.044204</v>
      </c>
      <c r="S6" s="8">
        <f t="shared" si="1"/>
        <v>102.0794805</v>
      </c>
      <c r="T6" s="8">
        <v>1.427122</v>
      </c>
      <c r="U6" s="8">
        <f t="shared" si="2"/>
        <v>87.63167250000001</v>
      </c>
      <c r="V6" s="8">
        <v>0.629502</v>
      </c>
      <c r="W6" s="8">
        <f t="shared" si="3"/>
        <v>61.3863765</v>
      </c>
      <c r="X6" s="8">
        <v>0.856718</v>
      </c>
      <c r="Y6" s="8">
        <f t="shared" si="4"/>
        <v>52.6150485</v>
      </c>
      <c r="Z6" s="8">
        <v>5.38089</v>
      </c>
      <c r="AA6" s="8">
        <f t="shared" si="5"/>
        <v>505.84824</v>
      </c>
      <c r="AB6" s="8">
        <v>6.71257</v>
      </c>
      <c r="AC6" s="8">
        <f t="shared" si="6"/>
        <v>439.9571700000001</v>
      </c>
      <c r="AD6" s="8">
        <f aca="true" t="shared" si="14" ref="AD6:AD17">AC6+AA6</f>
        <v>945.80541</v>
      </c>
      <c r="AE6" s="67">
        <v>3.45845</v>
      </c>
      <c r="AF6" s="67">
        <f aca="true" t="shared" si="15" ref="AF6:AF17">(AE5+AE6)/2*B6</f>
        <v>409.23589499999997</v>
      </c>
      <c r="AG6" s="67">
        <v>11.26966</v>
      </c>
      <c r="AH6" s="67">
        <f aca="true" t="shared" si="16" ref="AH6:AH17">(AG6+AG5)/2*B6</f>
        <v>603.05877</v>
      </c>
      <c r="AI6" s="67">
        <f t="shared" si="7"/>
        <v>1012.2946649999999</v>
      </c>
      <c r="AJ6" s="65">
        <v>3.45845</v>
      </c>
    </row>
    <row r="7" spans="1:36" ht="22.5" customHeight="1">
      <c r="A7" s="8" t="s">
        <v>671</v>
      </c>
      <c r="B7" s="8">
        <v>92</v>
      </c>
      <c r="C7" s="8">
        <v>6.507773</v>
      </c>
      <c r="D7" s="8">
        <v>18.466445</v>
      </c>
      <c r="E7" s="79">
        <f t="shared" si="8"/>
        <v>773.3725619999999</v>
      </c>
      <c r="F7" s="79">
        <f t="shared" si="9"/>
        <v>1718.137076</v>
      </c>
      <c r="G7" s="8">
        <f t="shared" si="10"/>
        <v>2491.509638</v>
      </c>
      <c r="H7" s="8">
        <v>0.519484</v>
      </c>
      <c r="I7" s="8">
        <v>0.75</v>
      </c>
      <c r="J7" s="8">
        <v>0.75</v>
      </c>
      <c r="K7" s="8">
        <v>0.519484</v>
      </c>
      <c r="L7" s="79">
        <f t="shared" si="11"/>
        <v>116.79252799999999</v>
      </c>
      <c r="M7" s="79">
        <f t="shared" si="12"/>
        <v>116.79252799999999</v>
      </c>
      <c r="N7" s="12">
        <f t="shared" si="13"/>
        <v>233.585056</v>
      </c>
      <c r="O7" s="12"/>
      <c r="P7" s="12"/>
      <c r="Q7" s="12">
        <f t="shared" si="0"/>
        <v>110.39999999999999</v>
      </c>
      <c r="R7" s="8">
        <v>2.166236</v>
      </c>
      <c r="S7" s="8">
        <f t="shared" si="1"/>
        <v>147.68024</v>
      </c>
      <c r="T7" s="8">
        <v>1.596755</v>
      </c>
      <c r="U7" s="8">
        <f t="shared" si="2"/>
        <v>139.09834199999997</v>
      </c>
      <c r="V7" s="8">
        <v>1.300187</v>
      </c>
      <c r="W7" s="8">
        <f t="shared" si="3"/>
        <v>88.765694</v>
      </c>
      <c r="X7" s="8">
        <v>0.958498</v>
      </c>
      <c r="Y7" s="8">
        <f t="shared" si="4"/>
        <v>83.49993599999999</v>
      </c>
      <c r="Z7" s="8">
        <v>9.86902</v>
      </c>
      <c r="AA7" s="8">
        <f t="shared" si="5"/>
        <v>701.49586</v>
      </c>
      <c r="AB7" s="8">
        <v>7.5911</v>
      </c>
      <c r="AC7" s="8">
        <f t="shared" si="6"/>
        <v>657.96882</v>
      </c>
      <c r="AD7" s="8">
        <f t="shared" si="14"/>
        <v>1359.46468</v>
      </c>
      <c r="AE7" s="148">
        <v>4.2121</v>
      </c>
      <c r="AF7" s="67">
        <f t="shared" si="15"/>
        <v>352.8453</v>
      </c>
      <c r="AG7" s="67">
        <v>11.40801</v>
      </c>
      <c r="AH7" s="67">
        <f t="shared" si="16"/>
        <v>1043.17282</v>
      </c>
      <c r="AI7" s="67">
        <f t="shared" si="7"/>
        <v>1396.01812</v>
      </c>
      <c r="AJ7" s="148">
        <v>4.2121</v>
      </c>
    </row>
    <row r="8" spans="1:36" ht="22.5" customHeight="1">
      <c r="A8" s="8" t="s">
        <v>672</v>
      </c>
      <c r="B8" s="8">
        <v>91</v>
      </c>
      <c r="C8" s="8">
        <v>1.162852</v>
      </c>
      <c r="D8" s="8">
        <v>21.967186</v>
      </c>
      <c r="E8" s="79">
        <f t="shared" si="8"/>
        <v>349.0134375</v>
      </c>
      <c r="F8" s="79">
        <f t="shared" si="9"/>
        <v>1839.7302105000003</v>
      </c>
      <c r="G8" s="8">
        <f t="shared" si="10"/>
        <v>2188.743648</v>
      </c>
      <c r="H8" s="8">
        <v>0.519484</v>
      </c>
      <c r="I8" s="8">
        <v>0.75</v>
      </c>
      <c r="J8" s="8">
        <v>0.75</v>
      </c>
      <c r="K8" s="8">
        <v>0.519484</v>
      </c>
      <c r="L8" s="79">
        <f t="shared" si="11"/>
        <v>115.52304399999998</v>
      </c>
      <c r="M8" s="79">
        <f t="shared" si="12"/>
        <v>115.52304399999998</v>
      </c>
      <c r="N8" s="12">
        <f t="shared" si="13"/>
        <v>231.046088</v>
      </c>
      <c r="O8" s="12">
        <f>0.6*B8</f>
        <v>54.6</v>
      </c>
      <c r="P8" s="12">
        <f>SUM(B8*0.6)</f>
        <v>54.6</v>
      </c>
      <c r="Q8" s="12">
        <f t="shared" si="0"/>
        <v>109.2</v>
      </c>
      <c r="R8" s="8">
        <v>1.925923</v>
      </c>
      <c r="S8" s="8">
        <f t="shared" si="1"/>
        <v>186.19323450000002</v>
      </c>
      <c r="T8" s="8">
        <v>1.925923</v>
      </c>
      <c r="U8" s="8">
        <f t="shared" si="2"/>
        <v>160.281849</v>
      </c>
      <c r="V8" s="8">
        <v>1.155999</v>
      </c>
      <c r="W8" s="8">
        <f t="shared" si="3"/>
        <v>111.75646299999998</v>
      </c>
      <c r="X8" s="8">
        <v>1.155999</v>
      </c>
      <c r="Y8" s="8">
        <f t="shared" si="4"/>
        <v>96.2096135</v>
      </c>
      <c r="Z8" s="8">
        <v>8.90777</v>
      </c>
      <c r="AA8" s="8">
        <f t="shared" si="5"/>
        <v>854.343945</v>
      </c>
      <c r="AB8" s="8">
        <v>8.90777</v>
      </c>
      <c r="AC8" s="8">
        <f t="shared" si="6"/>
        <v>750.698585</v>
      </c>
      <c r="AD8" s="8">
        <f t="shared" si="14"/>
        <v>1605.04253</v>
      </c>
      <c r="AE8" s="67">
        <v>10.33379</v>
      </c>
      <c r="AF8" s="67">
        <f t="shared" si="15"/>
        <v>661.837995</v>
      </c>
      <c r="AG8" s="67">
        <v>12.82806</v>
      </c>
      <c r="AH8" s="67">
        <f t="shared" si="16"/>
        <v>1102.741185</v>
      </c>
      <c r="AI8" s="67">
        <f t="shared" si="7"/>
        <v>1764.5791800000002</v>
      </c>
      <c r="AJ8" s="65">
        <v>10.33379</v>
      </c>
    </row>
    <row r="9" spans="1:36" ht="22.5" customHeight="1">
      <c r="A9" s="8" t="s">
        <v>673</v>
      </c>
      <c r="B9" s="8">
        <v>111</v>
      </c>
      <c r="C9" s="8">
        <v>7.845671</v>
      </c>
      <c r="D9" s="8">
        <v>22.898574</v>
      </c>
      <c r="E9" s="79">
        <f t="shared" si="8"/>
        <v>499.9730265</v>
      </c>
      <c r="F9" s="79">
        <f t="shared" si="9"/>
        <v>2490.04968</v>
      </c>
      <c r="G9" s="8">
        <f t="shared" si="10"/>
        <v>2990.0227065000004</v>
      </c>
      <c r="H9" s="8">
        <v>0.519484</v>
      </c>
      <c r="I9" s="8">
        <v>0.75</v>
      </c>
      <c r="J9" s="8">
        <v>0.75</v>
      </c>
      <c r="K9" s="8">
        <v>0.519484</v>
      </c>
      <c r="L9" s="79">
        <f t="shared" si="11"/>
        <v>140.91272399999997</v>
      </c>
      <c r="M9" s="79">
        <f t="shared" si="12"/>
        <v>140.91272399999997</v>
      </c>
      <c r="N9" s="12">
        <f t="shared" si="13"/>
        <v>281.825448</v>
      </c>
      <c r="O9" s="12">
        <f aca="true" t="shared" si="17" ref="O9:O17">0.6*B9</f>
        <v>66.6</v>
      </c>
      <c r="P9" s="12">
        <f aca="true" t="shared" si="18" ref="P9:P17">SUM(B9*0.6)</f>
        <v>66.6</v>
      </c>
      <c r="Q9" s="12">
        <f t="shared" si="0"/>
        <v>133.2</v>
      </c>
      <c r="R9" s="8">
        <v>1.915078</v>
      </c>
      <c r="S9" s="8">
        <f t="shared" si="1"/>
        <v>213.17555550000003</v>
      </c>
      <c r="T9" s="8">
        <v>1.974793</v>
      </c>
      <c r="U9" s="8">
        <f t="shared" si="2"/>
        <v>216.48973800000002</v>
      </c>
      <c r="V9" s="8">
        <v>1.150521</v>
      </c>
      <c r="W9" s="8">
        <f t="shared" si="3"/>
        <v>128.01185999999998</v>
      </c>
      <c r="X9" s="8">
        <v>1.198498</v>
      </c>
      <c r="Y9" s="8">
        <f t="shared" si="4"/>
        <v>130.6745835</v>
      </c>
      <c r="Z9" s="8">
        <v>8.86333</v>
      </c>
      <c r="AA9" s="8">
        <f t="shared" si="5"/>
        <v>986.2960499999998</v>
      </c>
      <c r="AB9" s="8">
        <v>9.07244</v>
      </c>
      <c r="AC9" s="8">
        <f t="shared" si="6"/>
        <v>997.901655</v>
      </c>
      <c r="AD9" s="8">
        <f t="shared" si="14"/>
        <v>1984.1977049999998</v>
      </c>
      <c r="AE9" s="67">
        <v>2.93858</v>
      </c>
      <c r="AF9" s="67">
        <f t="shared" si="15"/>
        <v>736.616535</v>
      </c>
      <c r="AG9" s="67">
        <v>11.67019</v>
      </c>
      <c r="AH9" s="67">
        <f t="shared" si="16"/>
        <v>1359.652875</v>
      </c>
      <c r="AI9" s="67">
        <f t="shared" si="7"/>
        <v>2096.26941</v>
      </c>
      <c r="AJ9" s="65">
        <v>2.93858</v>
      </c>
    </row>
    <row r="10" spans="1:36" ht="22.5" customHeight="1">
      <c r="A10" s="8" t="s">
        <v>674</v>
      </c>
      <c r="B10" s="8">
        <v>106</v>
      </c>
      <c r="C10" s="8">
        <v>19.829378</v>
      </c>
      <c r="D10" s="8">
        <v>18.130988</v>
      </c>
      <c r="E10" s="79">
        <f t="shared" si="8"/>
        <v>1466.7775969999998</v>
      </c>
      <c r="F10" s="79">
        <f t="shared" si="9"/>
        <v>2174.566786</v>
      </c>
      <c r="G10" s="8">
        <f t="shared" si="10"/>
        <v>3641.344383</v>
      </c>
      <c r="H10" s="8">
        <v>0.519484</v>
      </c>
      <c r="I10" s="8">
        <v>0.75</v>
      </c>
      <c r="J10" s="8">
        <v>0.75</v>
      </c>
      <c r="K10" s="8">
        <v>0.519484</v>
      </c>
      <c r="L10" s="79">
        <f t="shared" si="11"/>
        <v>134.56530399999997</v>
      </c>
      <c r="M10" s="79">
        <f t="shared" si="12"/>
        <v>134.56530399999997</v>
      </c>
      <c r="N10" s="12">
        <f t="shared" si="13"/>
        <v>269.130608</v>
      </c>
      <c r="O10" s="12">
        <f t="shared" si="17"/>
        <v>63.599999999999994</v>
      </c>
      <c r="P10" s="12">
        <f t="shared" si="18"/>
        <v>63.599999999999994</v>
      </c>
      <c r="Q10" s="12">
        <f t="shared" si="0"/>
        <v>127.19999999999999</v>
      </c>
      <c r="R10" s="8">
        <v>2.290713</v>
      </c>
      <c r="S10" s="8">
        <f t="shared" si="1"/>
        <v>222.90692300000003</v>
      </c>
      <c r="T10" s="8">
        <v>1.894588</v>
      </c>
      <c r="U10" s="8">
        <f t="shared" si="2"/>
        <v>205.077193</v>
      </c>
      <c r="V10" s="8">
        <v>1.374873</v>
      </c>
      <c r="W10" s="8">
        <f t="shared" si="3"/>
        <v>133.845882</v>
      </c>
      <c r="X10" s="8">
        <v>1.137198</v>
      </c>
      <c r="Y10" s="8">
        <f t="shared" si="4"/>
        <v>123.791888</v>
      </c>
      <c r="Z10" s="8">
        <v>10.33612</v>
      </c>
      <c r="AA10" s="8">
        <f t="shared" si="5"/>
        <v>1017.57085</v>
      </c>
      <c r="AB10" s="8">
        <v>8.75162</v>
      </c>
      <c r="AC10" s="8">
        <f t="shared" si="6"/>
        <v>944.6751800000002</v>
      </c>
      <c r="AD10" s="8">
        <f t="shared" si="14"/>
        <v>1962.2460300000002</v>
      </c>
      <c r="AE10" s="148">
        <v>7.7708</v>
      </c>
      <c r="AF10" s="67">
        <f t="shared" si="15"/>
        <v>567.59714</v>
      </c>
      <c r="AG10" s="67">
        <v>10.62383</v>
      </c>
      <c r="AH10" s="67">
        <f t="shared" si="16"/>
        <v>1181.58306</v>
      </c>
      <c r="AI10" s="67">
        <f t="shared" si="7"/>
        <v>1749.1801999999998</v>
      </c>
      <c r="AJ10" s="148">
        <v>7.7708</v>
      </c>
    </row>
    <row r="11" spans="1:36" ht="22.5" customHeight="1">
      <c r="A11" s="135" t="s">
        <v>675</v>
      </c>
      <c r="B11" s="8">
        <v>80</v>
      </c>
      <c r="C11" s="8">
        <v>5.224382</v>
      </c>
      <c r="D11" s="8">
        <v>15.861372</v>
      </c>
      <c r="E11" s="79">
        <f t="shared" si="8"/>
        <v>1002.1503999999999</v>
      </c>
      <c r="F11" s="79">
        <f t="shared" si="9"/>
        <v>1359.6943999999999</v>
      </c>
      <c r="G11" s="8">
        <f t="shared" si="10"/>
        <v>2361.8448</v>
      </c>
      <c r="H11" s="8">
        <v>0.519484</v>
      </c>
      <c r="I11" s="8">
        <v>0.75</v>
      </c>
      <c r="J11" s="8">
        <v>0.75</v>
      </c>
      <c r="K11" s="8">
        <v>0.519484</v>
      </c>
      <c r="L11" s="79">
        <f t="shared" si="11"/>
        <v>101.55872</v>
      </c>
      <c r="M11" s="79">
        <f t="shared" si="12"/>
        <v>101.55872</v>
      </c>
      <c r="N11" s="12">
        <f t="shared" si="13"/>
        <v>203.11744000000002</v>
      </c>
      <c r="O11" s="12">
        <f t="shared" si="17"/>
        <v>48</v>
      </c>
      <c r="P11" s="12">
        <f t="shared" si="18"/>
        <v>48</v>
      </c>
      <c r="Q11" s="12">
        <f t="shared" si="0"/>
        <v>96</v>
      </c>
      <c r="R11" s="8">
        <v>1.966122</v>
      </c>
      <c r="S11" s="8">
        <f t="shared" si="1"/>
        <v>170.27340000000004</v>
      </c>
      <c r="T11" s="8">
        <v>2.117321</v>
      </c>
      <c r="U11" s="8">
        <f t="shared" si="2"/>
        <v>160.47636</v>
      </c>
      <c r="V11" s="8">
        <v>1.184908</v>
      </c>
      <c r="W11" s="8">
        <f t="shared" si="3"/>
        <v>102.39124000000001</v>
      </c>
      <c r="X11" s="8">
        <v>1.270837</v>
      </c>
      <c r="Y11" s="8">
        <f t="shared" si="4"/>
        <v>96.3214</v>
      </c>
      <c r="Z11" s="8">
        <v>9.56924</v>
      </c>
      <c r="AA11" s="8">
        <f t="shared" si="5"/>
        <v>796.2144000000001</v>
      </c>
      <c r="AB11" s="8">
        <v>9.64255</v>
      </c>
      <c r="AC11" s="8">
        <f t="shared" si="6"/>
        <v>735.7668000000001</v>
      </c>
      <c r="AD11" s="8">
        <f t="shared" si="14"/>
        <v>1531.9812000000002</v>
      </c>
      <c r="AE11" s="67">
        <v>1.00619</v>
      </c>
      <c r="AF11" s="67">
        <f t="shared" si="15"/>
        <v>351.07959999999997</v>
      </c>
      <c r="AG11" s="67">
        <v>10.15466</v>
      </c>
      <c r="AH11" s="67">
        <f t="shared" si="16"/>
        <v>831.1396</v>
      </c>
      <c r="AI11" s="67">
        <f t="shared" si="7"/>
        <v>1182.2192</v>
      </c>
      <c r="AJ11" s="65">
        <v>1.00619</v>
      </c>
    </row>
    <row r="12" spans="1:36" ht="22.5" customHeight="1">
      <c r="A12" s="8" t="s">
        <v>676</v>
      </c>
      <c r="B12" s="8">
        <v>124</v>
      </c>
      <c r="C12" s="8">
        <v>6.3972</v>
      </c>
      <c r="D12" s="8">
        <v>21.435191</v>
      </c>
      <c r="E12" s="79">
        <f t="shared" si="8"/>
        <v>720.538084</v>
      </c>
      <c r="F12" s="79">
        <f t="shared" si="9"/>
        <v>2312.3869059999997</v>
      </c>
      <c r="G12" s="8">
        <f t="shared" si="10"/>
        <v>3032.9249899999995</v>
      </c>
      <c r="H12" s="8">
        <v>0.519484</v>
      </c>
      <c r="I12" s="8">
        <v>0.75</v>
      </c>
      <c r="J12" s="8">
        <v>0.75</v>
      </c>
      <c r="K12" s="8">
        <v>0.519484</v>
      </c>
      <c r="L12" s="79">
        <f t="shared" si="11"/>
        <v>157.41601599999998</v>
      </c>
      <c r="M12" s="79">
        <f t="shared" si="12"/>
        <v>157.41601599999998</v>
      </c>
      <c r="N12" s="12">
        <f t="shared" si="13"/>
        <v>314.832032</v>
      </c>
      <c r="O12" s="12">
        <f t="shared" si="17"/>
        <v>74.39999999999999</v>
      </c>
      <c r="P12" s="12">
        <f t="shared" si="18"/>
        <v>74.39999999999999</v>
      </c>
      <c r="Q12" s="12">
        <f t="shared" si="0"/>
        <v>148.79999999999998</v>
      </c>
      <c r="R12" s="8">
        <v>1.596479</v>
      </c>
      <c r="S12" s="8">
        <f t="shared" si="1"/>
        <v>220.881262</v>
      </c>
      <c r="T12" s="8">
        <v>1.802737</v>
      </c>
      <c r="U12" s="8">
        <f t="shared" si="2"/>
        <v>243.043596</v>
      </c>
      <c r="V12" s="8">
        <v>0.958342</v>
      </c>
      <c r="W12" s="8">
        <f t="shared" si="3"/>
        <v>132.88150000000002</v>
      </c>
      <c r="X12" s="8">
        <v>1.082087</v>
      </c>
      <c r="Y12" s="8">
        <f t="shared" si="4"/>
        <v>145.88128799999998</v>
      </c>
      <c r="Z12" s="8">
        <v>7.56029</v>
      </c>
      <c r="AA12" s="8">
        <f t="shared" si="5"/>
        <v>1062.03086</v>
      </c>
      <c r="AB12" s="8">
        <v>8.38422</v>
      </c>
      <c r="AC12" s="8">
        <f t="shared" si="6"/>
        <v>1117.65974</v>
      </c>
      <c r="AD12" s="8">
        <f t="shared" si="14"/>
        <v>2179.6906</v>
      </c>
      <c r="AE12" s="67">
        <v>12.62742</v>
      </c>
      <c r="AF12" s="67">
        <f t="shared" si="15"/>
        <v>845.2838200000001</v>
      </c>
      <c r="AG12" s="67">
        <v>8.78275</v>
      </c>
      <c r="AH12" s="67">
        <f t="shared" si="16"/>
        <v>1174.11942</v>
      </c>
      <c r="AI12" s="67">
        <f t="shared" si="7"/>
        <v>2019.40324</v>
      </c>
      <c r="AJ12" s="65">
        <v>12.62742</v>
      </c>
    </row>
    <row r="13" spans="1:36" ht="22.5" customHeight="1">
      <c r="A13" s="8" t="s">
        <v>677</v>
      </c>
      <c r="B13" s="8">
        <v>136</v>
      </c>
      <c r="C13" s="8">
        <v>23.480188</v>
      </c>
      <c r="D13" s="8">
        <v>14.8168</v>
      </c>
      <c r="E13" s="79">
        <f t="shared" si="8"/>
        <v>2031.6623839999997</v>
      </c>
      <c r="F13" s="79">
        <f t="shared" si="9"/>
        <v>2465.135388</v>
      </c>
      <c r="G13" s="8">
        <f t="shared" si="10"/>
        <v>4496.797772</v>
      </c>
      <c r="H13" s="8">
        <v>0.519484</v>
      </c>
      <c r="I13" s="8">
        <v>0.75</v>
      </c>
      <c r="J13" s="8">
        <v>0.75</v>
      </c>
      <c r="K13" s="8">
        <v>0.519484</v>
      </c>
      <c r="L13" s="79">
        <f t="shared" si="11"/>
        <v>172.64982399999997</v>
      </c>
      <c r="M13" s="79">
        <f t="shared" si="12"/>
        <v>172.64982399999997</v>
      </c>
      <c r="N13" s="12">
        <f t="shared" si="13"/>
        <v>345.299648</v>
      </c>
      <c r="O13" s="12">
        <f t="shared" si="17"/>
        <v>81.6</v>
      </c>
      <c r="P13" s="12">
        <f t="shared" si="18"/>
        <v>81.6</v>
      </c>
      <c r="Q13" s="12">
        <f t="shared" si="0"/>
        <v>163.2</v>
      </c>
      <c r="R13" s="8">
        <v>1.162576</v>
      </c>
      <c r="S13" s="8">
        <f t="shared" si="1"/>
        <v>187.61574000000002</v>
      </c>
      <c r="T13" s="8">
        <v>1.75831</v>
      </c>
      <c r="U13" s="8">
        <f t="shared" si="2"/>
        <v>242.15119600000003</v>
      </c>
      <c r="V13" s="8">
        <v>0.697991</v>
      </c>
      <c r="W13" s="8">
        <f t="shared" si="3"/>
        <v>112.630644</v>
      </c>
      <c r="X13" s="8">
        <v>1.055431</v>
      </c>
      <c r="Y13" s="8">
        <f t="shared" si="4"/>
        <v>145.351224</v>
      </c>
      <c r="Z13" s="8">
        <v>5.82357</v>
      </c>
      <c r="AA13" s="8">
        <f t="shared" si="5"/>
        <v>910.10248</v>
      </c>
      <c r="AB13" s="8">
        <v>8.20651</v>
      </c>
      <c r="AC13" s="8">
        <f t="shared" si="6"/>
        <v>1128.16964</v>
      </c>
      <c r="AD13" s="8">
        <f t="shared" si="14"/>
        <v>2038.27212</v>
      </c>
      <c r="AE13" s="67">
        <v>12.44031</v>
      </c>
      <c r="AF13" s="67">
        <f t="shared" si="15"/>
        <v>1704.60564</v>
      </c>
      <c r="AG13" s="67">
        <v>8.50856</v>
      </c>
      <c r="AH13" s="67">
        <f t="shared" si="16"/>
        <v>1175.80908</v>
      </c>
      <c r="AI13" s="67">
        <f t="shared" si="7"/>
        <v>2880.4147199999998</v>
      </c>
      <c r="AJ13" s="65">
        <v>12.44031</v>
      </c>
    </row>
    <row r="14" spans="1:36" ht="22.5" customHeight="1">
      <c r="A14" s="8" t="s">
        <v>678</v>
      </c>
      <c r="B14" s="8">
        <v>145</v>
      </c>
      <c r="C14" s="8">
        <v>2.717737</v>
      </c>
      <c r="D14" s="8">
        <v>4.607844</v>
      </c>
      <c r="E14" s="79">
        <f t="shared" si="8"/>
        <v>1899.3495624999998</v>
      </c>
      <c r="F14" s="79">
        <f t="shared" si="9"/>
        <v>1408.2866900000001</v>
      </c>
      <c r="G14" s="8">
        <f t="shared" si="10"/>
        <v>3307.6362525</v>
      </c>
      <c r="H14" s="8">
        <v>0.519484</v>
      </c>
      <c r="I14" s="8">
        <v>0.75</v>
      </c>
      <c r="J14" s="8">
        <v>0.75</v>
      </c>
      <c r="K14" s="8">
        <v>0.519484</v>
      </c>
      <c r="L14" s="79">
        <f t="shared" si="11"/>
        <v>184.07518</v>
      </c>
      <c r="M14" s="79">
        <f t="shared" si="12"/>
        <v>184.07518</v>
      </c>
      <c r="N14" s="12">
        <f t="shared" si="13"/>
        <v>368.15036000000003</v>
      </c>
      <c r="O14" s="12">
        <f t="shared" si="17"/>
        <v>87</v>
      </c>
      <c r="P14" s="12">
        <f t="shared" si="18"/>
        <v>87</v>
      </c>
      <c r="Q14" s="12">
        <f t="shared" si="0"/>
        <v>174</v>
      </c>
      <c r="R14" s="8">
        <v>1.346345</v>
      </c>
      <c r="S14" s="8">
        <f t="shared" si="1"/>
        <v>181.8967725</v>
      </c>
      <c r="T14" s="8">
        <v>1.75831</v>
      </c>
      <c r="U14" s="8">
        <f t="shared" si="2"/>
        <v>254.95495</v>
      </c>
      <c r="V14" s="8">
        <v>0.808252</v>
      </c>
      <c r="W14" s="8">
        <f t="shared" si="3"/>
        <v>109.2026175</v>
      </c>
      <c r="X14" s="8">
        <v>1.055431</v>
      </c>
      <c r="Y14" s="8">
        <f t="shared" si="4"/>
        <v>153.037495</v>
      </c>
      <c r="Z14" s="8">
        <v>6.55865</v>
      </c>
      <c r="AA14" s="8">
        <f t="shared" si="5"/>
        <v>897.71095</v>
      </c>
      <c r="AB14" s="8">
        <v>8.20651</v>
      </c>
      <c r="AC14" s="8">
        <f t="shared" si="6"/>
        <v>1189.9439499999999</v>
      </c>
      <c r="AD14" s="8">
        <f t="shared" si="14"/>
        <v>2087.6549</v>
      </c>
      <c r="AE14" s="67">
        <v>9.61675</v>
      </c>
      <c r="AF14" s="67">
        <f t="shared" si="15"/>
        <v>1599.13685</v>
      </c>
      <c r="AG14" s="67">
        <v>7.8121</v>
      </c>
      <c r="AH14" s="67">
        <f t="shared" si="16"/>
        <v>1183.24785</v>
      </c>
      <c r="AI14" s="67">
        <f t="shared" si="7"/>
        <v>2782.3847</v>
      </c>
      <c r="AJ14" s="65">
        <v>9.6167</v>
      </c>
    </row>
    <row r="15" spans="1:36" ht="22.5" customHeight="1">
      <c r="A15" s="8" t="s">
        <v>679</v>
      </c>
      <c r="B15" s="8">
        <v>78</v>
      </c>
      <c r="C15" s="8">
        <v>5.028892</v>
      </c>
      <c r="D15" s="8">
        <v>13.484487</v>
      </c>
      <c r="E15" s="79">
        <f t="shared" si="8"/>
        <v>302.118531</v>
      </c>
      <c r="F15" s="79">
        <f t="shared" si="9"/>
        <v>705.600909</v>
      </c>
      <c r="G15" s="8">
        <f t="shared" si="10"/>
        <v>1007.71944</v>
      </c>
      <c r="H15" s="8">
        <v>0.519484</v>
      </c>
      <c r="I15" s="8">
        <v>0.75</v>
      </c>
      <c r="J15" s="8">
        <v>0.75</v>
      </c>
      <c r="K15" s="8">
        <v>0.519484</v>
      </c>
      <c r="L15" s="79">
        <f t="shared" si="11"/>
        <v>99.01975199999998</v>
      </c>
      <c r="M15" s="79">
        <f t="shared" si="12"/>
        <v>99.01975199999998</v>
      </c>
      <c r="N15" s="12">
        <f t="shared" si="13"/>
        <v>198.03950400000002</v>
      </c>
      <c r="O15" s="12">
        <f t="shared" si="17"/>
        <v>46.8</v>
      </c>
      <c r="P15" s="12">
        <f t="shared" si="18"/>
        <v>46.8</v>
      </c>
      <c r="Q15" s="12">
        <f t="shared" si="0"/>
        <v>93.6</v>
      </c>
      <c r="R15" s="8">
        <v>1.75831</v>
      </c>
      <c r="S15" s="8">
        <f t="shared" si="1"/>
        <v>121.081545</v>
      </c>
      <c r="T15" s="8">
        <v>1.719526</v>
      </c>
      <c r="U15" s="8">
        <f t="shared" si="2"/>
        <v>135.635604</v>
      </c>
      <c r="V15" s="8">
        <v>1.055431</v>
      </c>
      <c r="W15" s="8">
        <f t="shared" si="3"/>
        <v>72.683637</v>
      </c>
      <c r="X15" s="8">
        <v>1.032161</v>
      </c>
      <c r="Y15" s="8">
        <f t="shared" si="4"/>
        <v>81.416088</v>
      </c>
      <c r="Z15" s="8">
        <v>8.20651</v>
      </c>
      <c r="AA15" s="8">
        <f t="shared" si="5"/>
        <v>575.84124</v>
      </c>
      <c r="AB15" s="8">
        <v>8.05137</v>
      </c>
      <c r="AC15" s="8">
        <f t="shared" si="6"/>
        <v>634.05732</v>
      </c>
      <c r="AD15" s="8">
        <f t="shared" si="14"/>
        <v>1209.89856</v>
      </c>
      <c r="AE15" s="67">
        <v>8.30392</v>
      </c>
      <c r="AF15" s="67">
        <f t="shared" si="15"/>
        <v>698.9061300000001</v>
      </c>
      <c r="AG15" s="67">
        <v>9.09874</v>
      </c>
      <c r="AH15" s="67">
        <f t="shared" si="16"/>
        <v>659.5227600000001</v>
      </c>
      <c r="AI15" s="67">
        <f t="shared" si="7"/>
        <v>1358.4288900000001</v>
      </c>
      <c r="AJ15" s="65">
        <v>8.30392</v>
      </c>
    </row>
    <row r="16" spans="1:36" ht="22.5" customHeight="1">
      <c r="A16" s="8" t="s">
        <v>680</v>
      </c>
      <c r="B16" s="8">
        <v>155</v>
      </c>
      <c r="C16" s="8">
        <v>4.729801</v>
      </c>
      <c r="D16" s="8">
        <v>8.1548</v>
      </c>
      <c r="E16" s="79">
        <f t="shared" si="8"/>
        <v>756.2987075000001</v>
      </c>
      <c r="F16" s="79">
        <f t="shared" si="9"/>
        <v>1677.0447425</v>
      </c>
      <c r="G16" s="8">
        <f t="shared" si="10"/>
        <v>2433.34345</v>
      </c>
      <c r="H16" s="8">
        <v>0.519484</v>
      </c>
      <c r="I16" s="8">
        <v>0.75</v>
      </c>
      <c r="J16" s="8">
        <v>0.75</v>
      </c>
      <c r="K16" s="8">
        <v>0.519484</v>
      </c>
      <c r="L16" s="79">
        <f t="shared" si="11"/>
        <v>196.77002</v>
      </c>
      <c r="M16" s="79">
        <f t="shared" si="12"/>
        <v>196.77002</v>
      </c>
      <c r="N16" s="12">
        <f t="shared" si="13"/>
        <v>393.54004000000003</v>
      </c>
      <c r="O16" s="12">
        <f t="shared" si="17"/>
        <v>93</v>
      </c>
      <c r="P16" s="12">
        <f t="shared" si="18"/>
        <v>93</v>
      </c>
      <c r="Q16" s="12">
        <f t="shared" si="0"/>
        <v>186</v>
      </c>
      <c r="R16" s="8">
        <v>1.966177</v>
      </c>
      <c r="S16" s="8">
        <f t="shared" si="1"/>
        <v>288.6477425</v>
      </c>
      <c r="T16" s="8">
        <v>1.596755</v>
      </c>
      <c r="U16" s="8">
        <f t="shared" si="2"/>
        <v>257.0117775</v>
      </c>
      <c r="V16" s="8">
        <v>1.180151</v>
      </c>
      <c r="W16" s="8">
        <f t="shared" si="3"/>
        <v>173.25760499999998</v>
      </c>
      <c r="X16" s="8">
        <v>0.958498</v>
      </c>
      <c r="Y16" s="8">
        <f t="shared" si="4"/>
        <v>154.2760725</v>
      </c>
      <c r="Z16" s="8">
        <v>9.03797</v>
      </c>
      <c r="AA16" s="8">
        <f t="shared" si="5"/>
        <v>1336.4471999999998</v>
      </c>
      <c r="AB16" s="8">
        <v>7.56029</v>
      </c>
      <c r="AC16" s="8">
        <f t="shared" si="6"/>
        <v>1209.90365</v>
      </c>
      <c r="AD16" s="8">
        <f t="shared" si="14"/>
        <v>2546.35085</v>
      </c>
      <c r="AE16" s="67">
        <v>6.68211</v>
      </c>
      <c r="AF16" s="67">
        <f t="shared" si="15"/>
        <v>1161.417325</v>
      </c>
      <c r="AG16" s="67">
        <v>6.85531</v>
      </c>
      <c r="AH16" s="67">
        <f t="shared" si="16"/>
        <v>1236.4388749999998</v>
      </c>
      <c r="AI16" s="67">
        <f t="shared" si="7"/>
        <v>2397.8561999999997</v>
      </c>
      <c r="AJ16" s="65">
        <v>6.68211</v>
      </c>
    </row>
    <row r="17" spans="1:36" ht="22.5" customHeight="1">
      <c r="A17" s="22" t="s">
        <v>681</v>
      </c>
      <c r="B17" s="22">
        <v>132</v>
      </c>
      <c r="C17" s="22">
        <v>25.725209</v>
      </c>
      <c r="D17" s="22">
        <v>11.398167</v>
      </c>
      <c r="E17" s="79">
        <f t="shared" si="8"/>
        <v>2010.0306600000001</v>
      </c>
      <c r="F17" s="79">
        <f t="shared" si="9"/>
        <v>1290.495822</v>
      </c>
      <c r="G17" s="22">
        <f t="shared" si="10"/>
        <v>3300.526482</v>
      </c>
      <c r="H17" s="22">
        <v>0.519484</v>
      </c>
      <c r="I17" s="22">
        <v>0.75</v>
      </c>
      <c r="J17" s="22">
        <v>0.75</v>
      </c>
      <c r="K17" s="22">
        <v>0.519484</v>
      </c>
      <c r="L17" s="79">
        <f t="shared" si="11"/>
        <v>167.57188799999997</v>
      </c>
      <c r="M17" s="79">
        <f t="shared" si="12"/>
        <v>167.57188799999997</v>
      </c>
      <c r="N17" s="18">
        <f t="shared" si="13"/>
        <v>335.143776</v>
      </c>
      <c r="O17" s="12">
        <f t="shared" si="17"/>
        <v>79.2</v>
      </c>
      <c r="P17" s="12">
        <f t="shared" si="18"/>
        <v>79.2</v>
      </c>
      <c r="Q17" s="18">
        <f t="shared" si="0"/>
        <v>158.4</v>
      </c>
      <c r="R17" s="22">
        <v>1.966177</v>
      </c>
      <c r="S17" s="22">
        <f t="shared" si="1"/>
        <v>259.535364</v>
      </c>
      <c r="T17" s="22">
        <v>1.596755</v>
      </c>
      <c r="U17" s="22">
        <f t="shared" si="2"/>
        <v>210.77166</v>
      </c>
      <c r="V17" s="22">
        <v>1.180151</v>
      </c>
      <c r="W17" s="22">
        <f t="shared" si="3"/>
        <v>155.779932</v>
      </c>
      <c r="X17" s="22">
        <v>0.958498</v>
      </c>
      <c r="Y17" s="22">
        <f t="shared" si="4"/>
        <v>126.52173599999999</v>
      </c>
      <c r="Z17" s="22">
        <v>9.03797</v>
      </c>
      <c r="AA17" s="22">
        <f t="shared" si="5"/>
        <v>1193.0120399999998</v>
      </c>
      <c r="AB17" s="22">
        <v>7.56029</v>
      </c>
      <c r="AC17" s="22">
        <f t="shared" si="6"/>
        <v>997.9582800000001</v>
      </c>
      <c r="AD17" s="22">
        <f t="shared" si="14"/>
        <v>2190.97032</v>
      </c>
      <c r="AE17" s="67">
        <v>6.68211</v>
      </c>
      <c r="AF17" s="67">
        <f t="shared" si="15"/>
        <v>882.03852</v>
      </c>
      <c r="AG17" s="67">
        <v>6.85531</v>
      </c>
      <c r="AH17" s="67">
        <f t="shared" si="16"/>
        <v>904.90092</v>
      </c>
      <c r="AI17" s="67">
        <f t="shared" si="7"/>
        <v>1786.93944</v>
      </c>
      <c r="AJ17" s="65">
        <v>6.68211</v>
      </c>
    </row>
    <row r="18" spans="1:35" ht="22.5" customHeight="1">
      <c r="A18" s="136">
        <f>3480-2116</f>
        <v>1364</v>
      </c>
      <c r="B18" s="71">
        <f>SUM(B4:B17)</f>
        <v>1364</v>
      </c>
      <c r="C18" s="71"/>
      <c r="D18" s="71"/>
      <c r="E18" s="79">
        <f>SUM(E5:E17)</f>
        <v>12968.200506</v>
      </c>
      <c r="F18" s="79">
        <f>SUM(F5:F17)</f>
        <v>20445.391105</v>
      </c>
      <c r="G18" s="79">
        <f>SUM(G5:G17)</f>
        <v>33413.591611</v>
      </c>
      <c r="H18" s="71"/>
      <c r="I18" s="71"/>
      <c r="J18" s="71"/>
      <c r="K18" s="71"/>
      <c r="L18" s="79">
        <f>SUM(L5:L17)</f>
        <v>1731.5761759999996</v>
      </c>
      <c r="M18" s="79">
        <f>SUM(M5:M17)</f>
        <v>1731.4881964999997</v>
      </c>
      <c r="N18" s="79">
        <f>SUM(N5:N17)</f>
        <v>3463.0643725</v>
      </c>
      <c r="O18" s="71">
        <f>SUM(O4:O17)</f>
        <v>694.8</v>
      </c>
      <c r="P18" s="71">
        <f>SUM(P4:P17)</f>
        <v>694.8</v>
      </c>
      <c r="Q18" s="71">
        <f>SUM(Q4:Q17)</f>
        <v>1636.8</v>
      </c>
      <c r="R18" s="71"/>
      <c r="S18" s="71">
        <f>SUM(S4:S17)</f>
        <v>2350.6844005</v>
      </c>
      <c r="T18" s="71"/>
      <c r="U18" s="71">
        <f>SUM(U4:U17)</f>
        <v>2336.932497</v>
      </c>
      <c r="V18" s="71"/>
      <c r="W18" s="71">
        <f>SUM(W4:W17)</f>
        <v>1411.8384139999998</v>
      </c>
      <c r="X18" s="71"/>
      <c r="Y18" s="71">
        <f>SUM(Y4:Y17)</f>
        <v>1404.1961999999999</v>
      </c>
      <c r="Z18" s="71"/>
      <c r="AA18" s="71">
        <f>SUM(AA4:AA17)</f>
        <v>11071.517385</v>
      </c>
      <c r="AB18" s="71"/>
      <c r="AC18" s="71">
        <f>SUM(AC4:AC17)</f>
        <v>10941.629600000002</v>
      </c>
      <c r="AD18" s="71">
        <f>SUM(AD4:AD17)</f>
        <v>22013.146985</v>
      </c>
      <c r="AF18" s="67">
        <f>SUM(AF4:AF17)</f>
        <v>10189.92337</v>
      </c>
      <c r="AH18" s="67">
        <f>SUM(AH4:AH17)</f>
        <v>12574.869654999999</v>
      </c>
      <c r="AI18" s="67">
        <f>SUM(AI4:AI17)</f>
        <v>22764.79302499999</v>
      </c>
    </row>
    <row r="19" spans="1:34" ht="22.5" customHeight="1">
      <c r="A19" s="136"/>
      <c r="B19" s="71"/>
      <c r="C19" s="71"/>
      <c r="D19" s="71"/>
      <c r="E19" s="71"/>
      <c r="F19" s="137">
        <f>SUM(E18:F18)</f>
        <v>33413.591610999996</v>
      </c>
      <c r="G19" s="71"/>
      <c r="H19" s="71"/>
      <c r="I19" s="71"/>
      <c r="J19" s="71"/>
      <c r="K19" s="71"/>
      <c r="L19" s="71"/>
      <c r="M19" s="137">
        <f>SUM(L18:M18)</f>
        <v>3463.064372499999</v>
      </c>
      <c r="N19" s="71"/>
      <c r="O19" s="146"/>
      <c r="P19" s="137">
        <f>SUM(O18:P18)</f>
        <v>1389.6</v>
      </c>
      <c r="Q19" s="146"/>
      <c r="R19" s="71"/>
      <c r="S19" s="71"/>
      <c r="T19" s="71"/>
      <c r="U19" s="71">
        <f>SUM(S18:U18)</f>
        <v>4687.6168975</v>
      </c>
      <c r="V19" s="71"/>
      <c r="W19" s="71"/>
      <c r="X19" s="71"/>
      <c r="Y19" s="71">
        <f>SUM(W18:Y18)</f>
        <v>2816.0346139999997</v>
      </c>
      <c r="Z19" s="71"/>
      <c r="AA19" s="71"/>
      <c r="AB19" s="71"/>
      <c r="AC19" s="71">
        <f>SUM(AA18:AC18)</f>
        <v>22013.146985</v>
      </c>
      <c r="AD19" s="71"/>
      <c r="AH19" s="67">
        <f>SUM(AF18:AH18)</f>
        <v>22764.793025</v>
      </c>
    </row>
    <row r="20" spans="1:30" ht="22.5" customHeight="1">
      <c r="A20" s="138" t="s">
        <v>128</v>
      </c>
      <c r="B20" s="139"/>
      <c r="C20" s="139"/>
      <c r="D20" s="139"/>
      <c r="E20" s="139"/>
      <c r="F20" s="139"/>
      <c r="G20" s="140">
        <f>SUM(G4:G17)</f>
        <v>33413.591611</v>
      </c>
      <c r="H20" s="139"/>
      <c r="I20" s="139"/>
      <c r="J20" s="139"/>
      <c r="K20" s="139"/>
      <c r="L20" s="139"/>
      <c r="M20" s="139"/>
      <c r="N20" s="140">
        <f>SUM(N4:N17)</f>
        <v>3463.0643725</v>
      </c>
      <c r="O20" s="140"/>
      <c r="P20" s="140"/>
      <c r="Q20" s="140">
        <f>SUM(Q4:Q17)</f>
        <v>1636.8</v>
      </c>
      <c r="R20" s="139"/>
      <c r="S20" s="139"/>
      <c r="T20" s="139"/>
      <c r="U20" s="140">
        <f>SUM(U4:U17)</f>
        <v>2336.932497</v>
      </c>
      <c r="V20" s="139"/>
      <c r="W20" s="140">
        <f>SUM(W4:W18)</f>
        <v>2823.6768279999997</v>
      </c>
      <c r="X20" s="139"/>
      <c r="Y20" s="140">
        <f>SUM(Y4:Y17)</f>
        <v>1404.1961999999999</v>
      </c>
      <c r="Z20" s="139"/>
      <c r="AA20" s="139"/>
      <c r="AB20" s="139"/>
      <c r="AC20" s="139"/>
      <c r="AD20" s="140">
        <f>SUM(AD4:AD17)</f>
        <v>22013.146985</v>
      </c>
    </row>
    <row r="21" spans="1:30" ht="22.5" customHeight="1">
      <c r="A21" s="539" t="s">
        <v>682</v>
      </c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</row>
    <row r="22" spans="1:30" ht="22.5" customHeight="1">
      <c r="A22" s="448" t="s">
        <v>426</v>
      </c>
      <c r="B22" s="448" t="s">
        <v>632</v>
      </c>
      <c r="C22" s="448" t="s">
        <v>633</v>
      </c>
      <c r="D22" s="448"/>
      <c r="E22" s="536" t="s">
        <v>634</v>
      </c>
      <c r="F22" s="537"/>
      <c r="G22" s="448" t="s">
        <v>635</v>
      </c>
      <c r="H22" s="448" t="s">
        <v>636</v>
      </c>
      <c r="I22" s="448"/>
      <c r="J22" s="448"/>
      <c r="K22" s="448"/>
      <c r="L22" s="536" t="s">
        <v>637</v>
      </c>
      <c r="M22" s="537"/>
      <c r="N22" s="448" t="s">
        <v>638</v>
      </c>
      <c r="O22" s="536" t="s">
        <v>639</v>
      </c>
      <c r="P22" s="537"/>
      <c r="Q22" s="448" t="s">
        <v>640</v>
      </c>
      <c r="R22" s="448" t="s">
        <v>641</v>
      </c>
      <c r="S22" s="446"/>
      <c r="T22" s="446"/>
      <c r="U22" s="446"/>
      <c r="V22" s="448" t="s">
        <v>642</v>
      </c>
      <c r="W22" s="446"/>
      <c r="X22" s="446"/>
      <c r="Y22" s="446"/>
      <c r="Z22" s="448" t="s">
        <v>643</v>
      </c>
      <c r="AA22" s="448"/>
      <c r="AB22" s="448"/>
      <c r="AC22" s="448"/>
      <c r="AD22" s="448"/>
    </row>
    <row r="23" spans="1:30" ht="22.5" customHeight="1">
      <c r="A23" s="448"/>
      <c r="B23" s="448"/>
      <c r="C23" s="8" t="s">
        <v>461</v>
      </c>
      <c r="D23" s="134" t="s">
        <v>460</v>
      </c>
      <c r="E23" s="8" t="s">
        <v>461</v>
      </c>
      <c r="F23" s="134" t="s">
        <v>460</v>
      </c>
      <c r="G23" s="448"/>
      <c r="H23" s="12" t="s">
        <v>645</v>
      </c>
      <c r="I23" s="8" t="s">
        <v>646</v>
      </c>
      <c r="J23" s="12" t="s">
        <v>647</v>
      </c>
      <c r="K23" s="8" t="s">
        <v>648</v>
      </c>
      <c r="L23" s="8" t="s">
        <v>461</v>
      </c>
      <c r="M23" s="134" t="s">
        <v>460</v>
      </c>
      <c r="N23" s="448"/>
      <c r="O23" s="8" t="s">
        <v>461</v>
      </c>
      <c r="P23" s="134" t="s">
        <v>460</v>
      </c>
      <c r="Q23" s="448"/>
      <c r="R23" s="12" t="s">
        <v>649</v>
      </c>
      <c r="S23" s="12" t="s">
        <v>650</v>
      </c>
      <c r="T23" s="12" t="s">
        <v>651</v>
      </c>
      <c r="U23" s="12" t="s">
        <v>652</v>
      </c>
      <c r="V23" s="12" t="s">
        <v>653</v>
      </c>
      <c r="W23" s="12" t="s">
        <v>654</v>
      </c>
      <c r="X23" s="12" t="s">
        <v>655</v>
      </c>
      <c r="Y23" s="12" t="s">
        <v>656</v>
      </c>
      <c r="Z23" s="8" t="s">
        <v>657</v>
      </c>
      <c r="AA23" s="12" t="s">
        <v>658</v>
      </c>
      <c r="AB23" s="8" t="s">
        <v>659</v>
      </c>
      <c r="AC23" s="12" t="s">
        <v>660</v>
      </c>
      <c r="AD23" s="12" t="s">
        <v>661</v>
      </c>
    </row>
    <row r="24" spans="1:30" ht="22.5" customHeight="1">
      <c r="A24" s="72" t="s">
        <v>683</v>
      </c>
      <c r="B24" s="72">
        <v>0</v>
      </c>
      <c r="C24" s="8">
        <v>3.037322</v>
      </c>
      <c r="D24" s="72">
        <v>4.798899</v>
      </c>
      <c r="E24" s="72"/>
      <c r="F24" s="72"/>
      <c r="G24" s="72">
        <v>0</v>
      </c>
      <c r="H24" s="72">
        <v>0.519484</v>
      </c>
      <c r="I24" s="72">
        <v>0.75</v>
      </c>
      <c r="J24" s="72">
        <v>0.75</v>
      </c>
      <c r="K24" s="72">
        <v>0.519484</v>
      </c>
      <c r="L24" s="72"/>
      <c r="M24" s="72"/>
      <c r="N24" s="72">
        <v>0</v>
      </c>
      <c r="O24" s="72"/>
      <c r="P24" s="72"/>
      <c r="Q24" s="72">
        <v>0</v>
      </c>
      <c r="R24" s="72">
        <v>0.894977</v>
      </c>
      <c r="S24" s="72">
        <v>0</v>
      </c>
      <c r="T24" s="72">
        <v>1.87039</v>
      </c>
      <c r="U24" s="72">
        <v>0</v>
      </c>
      <c r="V24" s="72">
        <v>0.537431</v>
      </c>
      <c r="W24" s="72">
        <v>0</v>
      </c>
      <c r="X24" s="72">
        <v>1.122679</v>
      </c>
      <c r="Y24" s="72">
        <v>0</v>
      </c>
      <c r="Z24" s="72">
        <v>9.54649</v>
      </c>
      <c r="AA24" s="72">
        <v>0</v>
      </c>
      <c r="AB24" s="72">
        <v>8.65483</v>
      </c>
      <c r="AC24" s="72">
        <v>0</v>
      </c>
      <c r="AD24" s="72">
        <v>0</v>
      </c>
    </row>
    <row r="25" spans="1:30" ht="22.5" customHeight="1">
      <c r="A25" s="72" t="s">
        <v>684</v>
      </c>
      <c r="B25" s="72">
        <v>0</v>
      </c>
      <c r="C25" s="8">
        <v>13.679856</v>
      </c>
      <c r="D25" s="72">
        <v>6.140011</v>
      </c>
      <c r="E25" s="72"/>
      <c r="F25" s="72"/>
      <c r="G25" s="72"/>
      <c r="H25" s="72">
        <v>0.519484</v>
      </c>
      <c r="I25" s="72">
        <v>0.75</v>
      </c>
      <c r="J25" s="72">
        <v>0.75</v>
      </c>
      <c r="K25" s="72">
        <v>0.519484</v>
      </c>
      <c r="L25" s="72"/>
      <c r="M25" s="72"/>
      <c r="N25" s="72"/>
      <c r="O25" s="72"/>
      <c r="P25" s="72"/>
      <c r="Q25" s="72"/>
      <c r="R25" s="72">
        <v>1.596755</v>
      </c>
      <c r="S25" s="72"/>
      <c r="T25" s="72">
        <v>1.955766</v>
      </c>
      <c r="U25" s="72"/>
      <c r="V25" s="72">
        <v>0.958498</v>
      </c>
      <c r="W25" s="72"/>
      <c r="X25" s="72">
        <v>1.173905</v>
      </c>
      <c r="Y25" s="72"/>
      <c r="Z25" s="72">
        <v>7.56029</v>
      </c>
      <c r="AA25" s="72"/>
      <c r="AB25" s="72">
        <v>8.99633</v>
      </c>
      <c r="AC25" s="72"/>
      <c r="AD25" s="72"/>
    </row>
    <row r="26" spans="1:30" ht="22.5" customHeight="1">
      <c r="A26" s="135" t="s">
        <v>708</v>
      </c>
      <c r="B26" s="8">
        <v>50</v>
      </c>
      <c r="C26" s="8">
        <v>3.037322</v>
      </c>
      <c r="D26" s="8">
        <v>4.798899</v>
      </c>
      <c r="E26" s="79">
        <f>(C26+C25)/2*B26</f>
        <v>417.92945000000003</v>
      </c>
      <c r="F26" s="79">
        <f>(D26+D25)/2*B26</f>
        <v>273.47275</v>
      </c>
      <c r="G26" s="8">
        <f>(D26+C25+C26+D25)/2*B26</f>
        <v>691.4022</v>
      </c>
      <c r="H26" s="8">
        <v>0.519484</v>
      </c>
      <c r="I26" s="8">
        <v>0.75</v>
      </c>
      <c r="J26" s="8">
        <v>0.75</v>
      </c>
      <c r="K26" s="8">
        <v>0.519484</v>
      </c>
      <c r="L26" s="79">
        <f>(H26+H25+I26+I25)/2*B26</f>
        <v>63.47419999999999</v>
      </c>
      <c r="M26" s="79">
        <f>SUM(J26+J25+K26+K25)/2*B26</f>
        <v>63.47419999999999</v>
      </c>
      <c r="N26" s="8">
        <f>(K26+K25+J25+J26+I26+I25+H25+H26)/2*B26</f>
        <v>126.9484</v>
      </c>
      <c r="O26" s="8">
        <f>0.6*B26</f>
        <v>30</v>
      </c>
      <c r="P26" s="8">
        <f>0.6*B26</f>
        <v>30</v>
      </c>
      <c r="Q26" s="8">
        <f aca="true" t="shared" si="19" ref="Q26:Q51">1.2*B26</f>
        <v>60</v>
      </c>
      <c r="R26" s="8">
        <v>0.894977</v>
      </c>
      <c r="S26" s="8">
        <f>(R26+R25)/2*B26</f>
        <v>62.293299999999995</v>
      </c>
      <c r="T26" s="8">
        <v>1.87039</v>
      </c>
      <c r="U26" s="8">
        <f>(T26+T25)/2*B26</f>
        <v>95.65390000000001</v>
      </c>
      <c r="V26" s="8">
        <v>0.537431</v>
      </c>
      <c r="W26" s="8">
        <f>(V26+V25)/2*B26</f>
        <v>37.398225</v>
      </c>
      <c r="X26" s="8">
        <v>1.122679</v>
      </c>
      <c r="Y26" s="8">
        <f>(X26+X25)/2*B26</f>
        <v>57.41460000000001</v>
      </c>
      <c r="Z26" s="8">
        <v>9.54649</v>
      </c>
      <c r="AA26" s="8">
        <f>(Z26+Z25)/2*B26</f>
        <v>427.6695</v>
      </c>
      <c r="AB26" s="8">
        <v>8.65483</v>
      </c>
      <c r="AC26" s="8">
        <f>(AB26+AB25)/2*B26</f>
        <v>441.279</v>
      </c>
      <c r="AD26" s="8">
        <f>AC26+AA26</f>
        <v>868.9485</v>
      </c>
    </row>
    <row r="27" spans="1:30" ht="22.5" customHeight="1">
      <c r="A27" s="135" t="s">
        <v>709</v>
      </c>
      <c r="B27" s="8">
        <v>100</v>
      </c>
      <c r="C27" s="8">
        <v>3.40562</v>
      </c>
      <c r="D27" s="8">
        <v>3.597046</v>
      </c>
      <c r="E27" s="79">
        <f>(C27+C26)/2*B27</f>
        <v>322.1471</v>
      </c>
      <c r="F27" s="79">
        <f>(D27+D26)/2*B27</f>
        <v>419.79724999999996</v>
      </c>
      <c r="G27" s="8">
        <f>(D27+C26+C27+D26)/2*B27</f>
        <v>741.94435</v>
      </c>
      <c r="H27" s="8">
        <v>0.519484</v>
      </c>
      <c r="I27" s="8">
        <v>0.75</v>
      </c>
      <c r="J27" s="8">
        <v>0.75</v>
      </c>
      <c r="K27" s="8">
        <v>0.519484</v>
      </c>
      <c r="L27" s="79">
        <f>(H27+H26+I27+I26)/2*B27</f>
        <v>126.94839999999998</v>
      </c>
      <c r="M27" s="79">
        <f>SUM(J27+J26+K27+K26)/2*B27</f>
        <v>126.94839999999998</v>
      </c>
      <c r="N27" s="8">
        <f>(K27+K26+J26+J27+I27+I26+H26+H27)/2*B27</f>
        <v>253.8968</v>
      </c>
      <c r="O27" s="8">
        <f>0.6*B27</f>
        <v>60</v>
      </c>
      <c r="P27" s="8">
        <f>0.6*B27</f>
        <v>60</v>
      </c>
      <c r="Q27" s="8">
        <f t="shared" si="19"/>
        <v>120</v>
      </c>
      <c r="R27" s="8">
        <v>0.964368</v>
      </c>
      <c r="S27" s="8">
        <f>(R27+R26)/2*B27</f>
        <v>92.96725</v>
      </c>
      <c r="T27" s="8">
        <v>1.399555</v>
      </c>
      <c r="U27" s="8">
        <f>(T27+T26)/2*B27</f>
        <v>163.49725</v>
      </c>
      <c r="V27" s="8">
        <v>0.579066</v>
      </c>
      <c r="W27" s="8">
        <f>(V27+V26)/2*B27</f>
        <v>55.82484999999999</v>
      </c>
      <c r="X27" s="8">
        <v>0.840178</v>
      </c>
      <c r="Y27" s="8">
        <f>(X27+X26)/2*B27</f>
        <v>98.14285000000001</v>
      </c>
      <c r="Z27" s="8">
        <v>5.03074</v>
      </c>
      <c r="AA27" s="8">
        <f>(Z27+Z26)/2*B27</f>
        <v>728.8615</v>
      </c>
      <c r="AB27" s="8">
        <v>6.77149</v>
      </c>
      <c r="AC27" s="8">
        <f>(AB27+AB26)/2*B27</f>
        <v>771.316</v>
      </c>
      <c r="AD27" s="8">
        <f>AC27+AA27</f>
        <v>1500.1775</v>
      </c>
    </row>
    <row r="28" spans="1:30" ht="22.5" customHeight="1">
      <c r="A28" s="8" t="s">
        <v>710</v>
      </c>
      <c r="B28" s="8">
        <v>100</v>
      </c>
      <c r="C28" s="8">
        <v>6.506426</v>
      </c>
      <c r="D28" s="8">
        <v>9.4598</v>
      </c>
      <c r="E28" s="79">
        <f>(C28+C27)/2*B28</f>
        <v>495.6023</v>
      </c>
      <c r="F28" s="79">
        <f>(D28+D27)/2*B28</f>
        <v>652.8423</v>
      </c>
      <c r="G28" s="8">
        <f>(D28+C27+C28+D27)/2*B28</f>
        <v>1148.4446</v>
      </c>
      <c r="H28" s="8">
        <v>0.519484</v>
      </c>
      <c r="I28" s="8">
        <v>0.75</v>
      </c>
      <c r="J28" s="8">
        <v>0.75</v>
      </c>
      <c r="K28" s="8">
        <v>0.519484</v>
      </c>
      <c r="L28" s="79">
        <f>(H28+H27+I28+I27)/2*B28</f>
        <v>126.94839999999998</v>
      </c>
      <c r="M28" s="79">
        <f>SUM(J28+J27+K28+K27)/2*B28</f>
        <v>126.94839999999998</v>
      </c>
      <c r="N28" s="8">
        <f>(K28+K27+J27+J28+I28+I27+H27+H28)/2*B28</f>
        <v>253.8968</v>
      </c>
      <c r="O28" s="8">
        <f>0.6*B28</f>
        <v>60</v>
      </c>
      <c r="P28" s="8">
        <f>0.6*B28</f>
        <v>60</v>
      </c>
      <c r="Q28" s="8">
        <f t="shared" si="19"/>
        <v>120</v>
      </c>
      <c r="R28" s="8">
        <v>1.479198</v>
      </c>
      <c r="S28" s="8">
        <f>(R28+R27)/2*B28</f>
        <v>122.17830000000001</v>
      </c>
      <c r="T28" s="8">
        <v>1.596755</v>
      </c>
      <c r="U28" s="8">
        <f>(T28+T27)/2*B28</f>
        <v>149.81550000000001</v>
      </c>
      <c r="V28" s="8">
        <v>0.887964</v>
      </c>
      <c r="W28" s="8">
        <f>(V28+V27)/2*B28</f>
        <v>73.35149999999999</v>
      </c>
      <c r="X28" s="8">
        <v>0.958498</v>
      </c>
      <c r="Y28" s="8">
        <f>(X28+X27)/2*B28</f>
        <v>89.93379999999999</v>
      </c>
      <c r="Z28" s="8">
        <v>7.09006</v>
      </c>
      <c r="AA28" s="8">
        <f>(Z28+Z27)/2*B28</f>
        <v>606.04</v>
      </c>
      <c r="AB28" s="8">
        <v>7.56029</v>
      </c>
      <c r="AC28" s="8">
        <f>(AB28+AB27)/2*B28</f>
        <v>716.589</v>
      </c>
      <c r="AD28" s="8">
        <f>AC28+AA28</f>
        <v>1322.629</v>
      </c>
    </row>
    <row r="29" spans="1:30" ht="22.5" customHeight="1">
      <c r="A29" s="8" t="s">
        <v>688</v>
      </c>
      <c r="B29" s="8">
        <v>100</v>
      </c>
      <c r="C29" s="8">
        <v>12.142331</v>
      </c>
      <c r="D29" s="8">
        <v>3.551029</v>
      </c>
      <c r="E29" s="79">
        <f>(C29+C28)/2*B29</f>
        <v>932.43785</v>
      </c>
      <c r="F29" s="79">
        <f>(D29+D28)/2*B29</f>
        <v>650.5414499999999</v>
      </c>
      <c r="G29" s="8">
        <f>(D29+C28+C29+D28)/2*B29</f>
        <v>1582.9793000000002</v>
      </c>
      <c r="H29" s="8">
        <v>0.519484</v>
      </c>
      <c r="I29" s="8">
        <v>0.75</v>
      </c>
      <c r="J29" s="8">
        <v>0.75</v>
      </c>
      <c r="K29" s="8">
        <v>0.519484</v>
      </c>
      <c r="L29" s="79">
        <f>(H29+H28+I29+I28)/2*B29</f>
        <v>126.94839999999998</v>
      </c>
      <c r="M29" s="79">
        <f>SUM(J29+J28+K29+K28)/2*B29</f>
        <v>126.94839999999998</v>
      </c>
      <c r="N29" s="8">
        <f>(K29+K28+J28+J29+I29+I28+H28+H29)/2*B29</f>
        <v>253.8968</v>
      </c>
      <c r="O29" s="8">
        <f>0.6*B29</f>
        <v>60</v>
      </c>
      <c r="P29" s="8">
        <f>0.6*B29</f>
        <v>60</v>
      </c>
      <c r="Q29" s="8">
        <f t="shared" si="19"/>
        <v>120</v>
      </c>
      <c r="R29" s="8">
        <v>1.965937</v>
      </c>
      <c r="S29" s="8">
        <f>(R29+R28)/2*B29</f>
        <v>172.25675</v>
      </c>
      <c r="T29" s="8">
        <v>0.947458</v>
      </c>
      <c r="U29" s="8">
        <f>(T29+T28)/2*B29</f>
        <v>127.21065</v>
      </c>
      <c r="V29" s="8">
        <v>1.173905</v>
      </c>
      <c r="W29" s="8">
        <f>(V29+V28)/2*B29</f>
        <v>103.09344999999999</v>
      </c>
      <c r="X29" s="8">
        <v>0.569798</v>
      </c>
      <c r="Y29" s="8">
        <f>(X29+X28)/2*B29</f>
        <v>76.4148</v>
      </c>
      <c r="Z29" s="8">
        <v>8.99633</v>
      </c>
      <c r="AA29" s="8">
        <f>(Z29+Z28)/2*B29</f>
        <v>804.3195000000001</v>
      </c>
      <c r="AB29" s="8">
        <v>4.96915</v>
      </c>
      <c r="AC29" s="8">
        <f>(AB29+AB28)/2*B29</f>
        <v>626.4720000000001</v>
      </c>
      <c r="AD29" s="8">
        <f>AC29+AA29</f>
        <v>1430.7915000000003</v>
      </c>
    </row>
    <row r="30" spans="1:30" ht="22.5" customHeight="1">
      <c r="A30" s="8"/>
      <c r="B30" s="8"/>
      <c r="C30" s="8"/>
      <c r="D30" s="8"/>
      <c r="E30" s="79">
        <f>SUM(E26:E29)</f>
        <v>2168.1167</v>
      </c>
      <c r="F30" s="79">
        <f>SUM(F26:F29)</f>
        <v>1996.65375</v>
      </c>
      <c r="G30" s="79">
        <f>SUM(G26:G29)</f>
        <v>4164.77045</v>
      </c>
      <c r="H30" s="8"/>
      <c r="I30" s="8"/>
      <c r="J30" s="8"/>
      <c r="K30" s="8"/>
      <c r="L30" s="79">
        <f>SUM(L26:L29)</f>
        <v>444.3193999999999</v>
      </c>
      <c r="M30" s="79">
        <f>SUM(M26:M29)</f>
        <v>444.3193999999999</v>
      </c>
      <c r="N30" s="79">
        <f>SUM(N26:N29)</f>
        <v>888.6388000000001</v>
      </c>
      <c r="O30" s="79">
        <f>SUM(O26:O29)</f>
        <v>210</v>
      </c>
      <c r="P30" s="79">
        <f>SUM(P26:P29)</f>
        <v>210</v>
      </c>
      <c r="Q30" s="79">
        <f aca="true" t="shared" si="20" ref="Q30:AD30">SUM(Q26:Q29)</f>
        <v>420</v>
      </c>
      <c r="R30" s="8"/>
      <c r="S30" s="79">
        <f t="shared" si="20"/>
        <v>449.6956</v>
      </c>
      <c r="T30" s="8"/>
      <c r="U30" s="79">
        <f t="shared" si="20"/>
        <v>536.1773000000001</v>
      </c>
      <c r="V30" s="8"/>
      <c r="W30" s="79">
        <f t="shared" si="20"/>
        <v>269.66802499999994</v>
      </c>
      <c r="X30" s="8"/>
      <c r="Y30" s="79">
        <f t="shared" si="20"/>
        <v>321.90605</v>
      </c>
      <c r="Z30" s="8"/>
      <c r="AA30" s="79">
        <f t="shared" si="20"/>
        <v>2566.8905</v>
      </c>
      <c r="AB30" s="8"/>
      <c r="AC30" s="79">
        <f t="shared" si="20"/>
        <v>2555.6560000000004</v>
      </c>
      <c r="AD30" s="79">
        <f t="shared" si="20"/>
        <v>5122.5465</v>
      </c>
    </row>
    <row r="31" spans="1:30" ht="22.5" customHeight="1">
      <c r="A31" s="8"/>
      <c r="B31" s="8"/>
      <c r="C31" s="8"/>
      <c r="D31" s="8"/>
      <c r="E31" s="79"/>
      <c r="F31" s="79">
        <f>SUM(E30:F30)</f>
        <v>4164.77045</v>
      </c>
      <c r="G31" s="8"/>
      <c r="H31" s="8"/>
      <c r="I31" s="8"/>
      <c r="J31" s="8"/>
      <c r="K31" s="8"/>
      <c r="L31" s="79"/>
      <c r="M31" s="79">
        <f>SUM(L30:M30)</f>
        <v>888.6387999999998</v>
      </c>
      <c r="N31" s="8"/>
      <c r="O31" s="79"/>
      <c r="P31" s="79">
        <f>SUM(O30:P30)</f>
        <v>420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9">
        <f>AA30+AC30</f>
        <v>5122.5465</v>
      </c>
      <c r="AD31" s="8"/>
    </row>
    <row r="32" spans="1:30" ht="22.5" customHeight="1">
      <c r="A32" s="135" t="s">
        <v>711</v>
      </c>
      <c r="B32" s="8">
        <v>195</v>
      </c>
      <c r="C32" s="8">
        <v>2.409154</v>
      </c>
      <c r="D32" s="8">
        <v>6.058842</v>
      </c>
      <c r="E32" s="79">
        <f>(C32+C28)/2*B32</f>
        <v>869.26905</v>
      </c>
      <c r="F32" s="79">
        <f>(D32+D28)/2*B32</f>
        <v>1513.067595</v>
      </c>
      <c r="G32" s="8">
        <f>(D32+D28+C32+C28)/2*B32</f>
        <v>2382.3366450000003</v>
      </c>
      <c r="H32" s="8">
        <v>0.519484</v>
      </c>
      <c r="I32" s="8">
        <v>0.75</v>
      </c>
      <c r="J32" s="8">
        <v>0.75</v>
      </c>
      <c r="K32" s="8">
        <v>0.519484</v>
      </c>
      <c r="L32" s="79">
        <f>(H32+H28+I32+I28)/2*B32</f>
        <v>247.54937999999996</v>
      </c>
      <c r="M32" s="79">
        <f>SUM(J32+J28+K32+K28)/2*B32</f>
        <v>247.54937999999996</v>
      </c>
      <c r="N32" s="8">
        <f>(K32+K28+J28+J32+I32+I28+H28+H32)/2*B32</f>
        <v>495.09876</v>
      </c>
      <c r="O32" s="8">
        <f aca="true" t="shared" si="21" ref="O32:O51">0.6*B32</f>
        <v>117</v>
      </c>
      <c r="P32" s="8">
        <f aca="true" t="shared" si="22" ref="P32:P51">0.6*B32</f>
        <v>117</v>
      </c>
      <c r="Q32" s="8">
        <f t="shared" si="19"/>
        <v>234</v>
      </c>
      <c r="R32" s="8">
        <v>0.656538</v>
      </c>
      <c r="S32" s="8">
        <f>(R32+R28)/2*B32</f>
        <v>208.23426</v>
      </c>
      <c r="T32" s="8">
        <v>1.596755</v>
      </c>
      <c r="U32" s="8">
        <f>(T32+T28)/2*B32</f>
        <v>311.36722499999996</v>
      </c>
      <c r="V32" s="8">
        <v>0.394368</v>
      </c>
      <c r="W32" s="8">
        <f>(V32+V28)/2*B32</f>
        <v>125.02737</v>
      </c>
      <c r="X32" s="8">
        <v>0.958498</v>
      </c>
      <c r="Y32" s="8">
        <f>(X32+X28)/2*B32</f>
        <v>186.90711</v>
      </c>
      <c r="Z32" s="39">
        <v>3.79942</v>
      </c>
      <c r="AA32" s="8">
        <f>(Z32+Z28)/2*B32</f>
        <v>1061.7243</v>
      </c>
      <c r="AB32" s="8">
        <v>7.56429</v>
      </c>
      <c r="AC32" s="8">
        <f>(AB32+AB28)/2*B32</f>
        <v>1474.64655</v>
      </c>
      <c r="AD32" s="8">
        <f aca="true" t="shared" si="23" ref="AD32:AD51">AC32+AA32</f>
        <v>2536.3708500000002</v>
      </c>
    </row>
    <row r="33" spans="1:30" ht="22.5" customHeight="1">
      <c r="A33" s="135" t="s">
        <v>689</v>
      </c>
      <c r="B33" s="8">
        <v>79</v>
      </c>
      <c r="C33" s="8">
        <v>9.760399</v>
      </c>
      <c r="D33" s="8">
        <v>4.167396</v>
      </c>
      <c r="E33" s="79">
        <f aca="true" t="shared" si="24" ref="E33:E39">(C33+C32)/2*B33</f>
        <v>480.69734350000004</v>
      </c>
      <c r="F33" s="79">
        <f aca="true" t="shared" si="25" ref="F33:F39">(D33+D32)/2*B33</f>
        <v>403.936401</v>
      </c>
      <c r="G33" s="8">
        <f>(D33+D32+C33+C32)/2*B33</f>
        <v>884.6337445000001</v>
      </c>
      <c r="H33" s="8">
        <v>0.519484</v>
      </c>
      <c r="I33" s="8">
        <v>0.75</v>
      </c>
      <c r="J33" s="8">
        <v>0.75</v>
      </c>
      <c r="K33" s="8">
        <v>0.519484</v>
      </c>
      <c r="L33" s="79">
        <f>(H33+H32+I33+I32)/2*B33</f>
        <v>100.28923599999999</v>
      </c>
      <c r="M33" s="79">
        <f>SUM(J33+J32+K33+K32)/2*B33</f>
        <v>100.28923599999999</v>
      </c>
      <c r="N33" s="8">
        <f>(K33+K32+J32+J33+I33+I32+H32+H33)/2*B33</f>
        <v>200.578472</v>
      </c>
      <c r="O33" s="8">
        <f t="shared" si="21"/>
        <v>47.4</v>
      </c>
      <c r="P33" s="8">
        <f t="shared" si="22"/>
        <v>47.4</v>
      </c>
      <c r="Q33" s="8">
        <f t="shared" si="19"/>
        <v>94.8</v>
      </c>
      <c r="R33" s="8">
        <v>2.19926</v>
      </c>
      <c r="S33" s="8">
        <f>(R33+R32)/2*B33</f>
        <v>112.804021</v>
      </c>
      <c r="T33" s="8">
        <v>0.985725</v>
      </c>
      <c r="U33" s="8">
        <f>(T33+T32)/2*B33</f>
        <v>102.00796</v>
      </c>
      <c r="V33" s="8">
        <v>1.320001</v>
      </c>
      <c r="W33" s="8">
        <f>(V33+V32)/2*B33</f>
        <v>67.7175755</v>
      </c>
      <c r="X33" s="8">
        <v>0.59188</v>
      </c>
      <c r="Y33" s="8">
        <f>(X33+X32)/2*B33</f>
        <v>61.23993099999999</v>
      </c>
      <c r="Z33" s="8">
        <v>9.97031</v>
      </c>
      <c r="AA33" s="8">
        <f>(Z33+Z32)/2*B33</f>
        <v>543.904335</v>
      </c>
      <c r="AB33" s="8">
        <v>5.11617</v>
      </c>
      <c r="AC33" s="8">
        <f>(AB33+AB32)/2*B33</f>
        <v>500.87817</v>
      </c>
      <c r="AD33" s="8">
        <f t="shared" si="23"/>
        <v>1044.782505</v>
      </c>
    </row>
    <row r="34" spans="1:30" ht="22.5" customHeight="1">
      <c r="A34" s="135" t="s">
        <v>690</v>
      </c>
      <c r="B34" s="8">
        <v>68</v>
      </c>
      <c r="C34" s="8">
        <v>2.909631</v>
      </c>
      <c r="D34" s="8">
        <v>5.759043</v>
      </c>
      <c r="E34" s="79">
        <f t="shared" si="24"/>
        <v>430.78102</v>
      </c>
      <c r="F34" s="79">
        <f t="shared" si="25"/>
        <v>337.498926</v>
      </c>
      <c r="G34" s="8">
        <f aca="true" t="shared" si="26" ref="G34:G51">(D34+D33+C34+C33)/2*B34</f>
        <v>768.279946</v>
      </c>
      <c r="H34" s="8">
        <v>0.519484</v>
      </c>
      <c r="I34" s="8">
        <v>0.75</v>
      </c>
      <c r="J34" s="8">
        <v>0.75</v>
      </c>
      <c r="K34" s="8">
        <v>0.519484</v>
      </c>
      <c r="L34" s="79">
        <f aca="true" t="shared" si="27" ref="L34:L43">(H34+H33+I34+I33)/2*B34</f>
        <v>86.32491199999998</v>
      </c>
      <c r="M34" s="79">
        <f aca="true" t="shared" si="28" ref="M34:M43">SUM(J34+J33+K34+K33)/2*B34</f>
        <v>86.32491199999998</v>
      </c>
      <c r="N34" s="8">
        <f aca="true" t="shared" si="29" ref="N34:N51">(K34+K33+J33+J34+I34+I33+H33+H34)/2*B34</f>
        <v>172.649824</v>
      </c>
      <c r="O34" s="8">
        <f t="shared" si="21"/>
        <v>40.8</v>
      </c>
      <c r="P34" s="8">
        <f t="shared" si="22"/>
        <v>40.8</v>
      </c>
      <c r="Q34" s="8">
        <f t="shared" si="19"/>
        <v>81.6</v>
      </c>
      <c r="R34" s="8">
        <v>0.896502</v>
      </c>
      <c r="S34" s="8">
        <f aca="true" t="shared" si="30" ref="S34:S51">(R34+R33)/2*B34</f>
        <v>105.255908</v>
      </c>
      <c r="T34" s="8">
        <v>1.76089</v>
      </c>
      <c r="U34" s="8">
        <f aca="true" t="shared" si="31" ref="U34:U51">(T34+T33)/2*B34</f>
        <v>93.38491</v>
      </c>
      <c r="V34" s="8">
        <v>0.538346</v>
      </c>
      <c r="W34" s="8">
        <f aca="true" t="shared" si="32" ref="W34:W51">(V34+V33)/2*B34</f>
        <v>63.183797999999996</v>
      </c>
      <c r="X34" s="8">
        <v>1.055431</v>
      </c>
      <c r="Y34" s="8">
        <f aca="true" t="shared" si="33" ref="Y34:Y51">(X34+X33)/2*B34</f>
        <v>56.008573999999996</v>
      </c>
      <c r="Z34" s="8">
        <v>4.75927</v>
      </c>
      <c r="AA34" s="8">
        <f aca="true" t="shared" si="34" ref="AA34:AA51">(Z34+Z33)/2*B34</f>
        <v>500.80571999999995</v>
      </c>
      <c r="AB34" s="8">
        <v>8.20651</v>
      </c>
      <c r="AC34" s="8">
        <f aca="true" t="shared" si="35" ref="AC34:AC51">(AB34+AB33)/2*B34</f>
        <v>452.97112</v>
      </c>
      <c r="AD34" s="8">
        <f t="shared" si="23"/>
        <v>953.77684</v>
      </c>
    </row>
    <row r="35" spans="1:30" ht="22.5" customHeight="1">
      <c r="A35" s="135" t="s">
        <v>691</v>
      </c>
      <c r="B35" s="8">
        <v>151</v>
      </c>
      <c r="C35" s="8">
        <v>3.343097</v>
      </c>
      <c r="D35" s="8">
        <v>5.295744</v>
      </c>
      <c r="E35" s="79">
        <f t="shared" si="24"/>
        <v>472.080964</v>
      </c>
      <c r="F35" s="79">
        <f t="shared" si="25"/>
        <v>834.6364185000001</v>
      </c>
      <c r="G35" s="8">
        <f t="shared" si="26"/>
        <v>1306.7173825000002</v>
      </c>
      <c r="H35" s="8">
        <v>0.519484</v>
      </c>
      <c r="I35" s="8">
        <v>0.75</v>
      </c>
      <c r="J35" s="8">
        <v>0.75</v>
      </c>
      <c r="K35" s="8">
        <v>0.519484</v>
      </c>
      <c r="L35" s="79">
        <f t="shared" si="27"/>
        <v>191.69208399999997</v>
      </c>
      <c r="M35" s="79">
        <f t="shared" si="28"/>
        <v>191.69208399999997</v>
      </c>
      <c r="N35" s="8">
        <f t="shared" si="29"/>
        <v>383.38416800000005</v>
      </c>
      <c r="O35" s="8">
        <f t="shared" si="21"/>
        <v>90.6</v>
      </c>
      <c r="P35" s="8">
        <f t="shared" si="22"/>
        <v>90.6</v>
      </c>
      <c r="Q35" s="8">
        <f t="shared" si="19"/>
        <v>181.2</v>
      </c>
      <c r="R35" s="8">
        <v>1.223978</v>
      </c>
      <c r="S35" s="8">
        <f t="shared" si="30"/>
        <v>160.09624000000002</v>
      </c>
      <c r="T35" s="8">
        <v>1.080783</v>
      </c>
      <c r="U35" s="8">
        <f t="shared" si="31"/>
        <v>214.5463115</v>
      </c>
      <c r="V35" s="8">
        <v>0.734832</v>
      </c>
      <c r="W35" s="8">
        <f t="shared" si="32"/>
        <v>96.12493900000001</v>
      </c>
      <c r="X35" s="8">
        <v>0.648234</v>
      </c>
      <c r="Y35" s="8">
        <f t="shared" si="33"/>
        <v>128.6267075</v>
      </c>
      <c r="Z35" s="8">
        <v>3.2</v>
      </c>
      <c r="AA35" s="8">
        <f t="shared" si="34"/>
        <v>600.924885</v>
      </c>
      <c r="AB35" s="8">
        <v>5.49186</v>
      </c>
      <c r="AC35" s="8">
        <f t="shared" si="35"/>
        <v>1034.2269350000001</v>
      </c>
      <c r="AD35" s="8">
        <f t="shared" si="23"/>
        <v>1635.15182</v>
      </c>
    </row>
    <row r="36" spans="1:30" ht="22.5" customHeight="1">
      <c r="A36" s="135" t="s">
        <v>692</v>
      </c>
      <c r="B36" s="8">
        <v>41</v>
      </c>
      <c r="C36" s="8">
        <v>3.234335</v>
      </c>
      <c r="D36" s="8">
        <v>3.886036</v>
      </c>
      <c r="E36" s="79">
        <f t="shared" si="24"/>
        <v>134.837356</v>
      </c>
      <c r="F36" s="79">
        <f t="shared" si="25"/>
        <v>188.22648999999998</v>
      </c>
      <c r="G36" s="8">
        <f t="shared" si="26"/>
        <v>323.063846</v>
      </c>
      <c r="H36" s="8">
        <v>0.519484</v>
      </c>
      <c r="I36" s="8">
        <v>0.75</v>
      </c>
      <c r="J36" s="8">
        <v>0.75</v>
      </c>
      <c r="K36" s="8">
        <v>0.519484</v>
      </c>
      <c r="L36" s="79">
        <f t="shared" si="27"/>
        <v>52.048843999999995</v>
      </c>
      <c r="M36" s="79">
        <f t="shared" si="28"/>
        <v>52.048843999999995</v>
      </c>
      <c r="N36" s="8">
        <f t="shared" si="29"/>
        <v>104.097688</v>
      </c>
      <c r="O36" s="8">
        <f t="shared" si="21"/>
        <v>24.599999999999998</v>
      </c>
      <c r="P36" s="8">
        <f t="shared" si="22"/>
        <v>24.599999999999998</v>
      </c>
      <c r="Q36" s="8">
        <f t="shared" si="19"/>
        <v>49.199999999999996</v>
      </c>
      <c r="R36" s="8">
        <v>1.067537</v>
      </c>
      <c r="S36" s="8">
        <f t="shared" si="30"/>
        <v>46.976057499999996</v>
      </c>
      <c r="T36" s="8">
        <v>0.853104</v>
      </c>
      <c r="U36" s="8">
        <f t="shared" si="31"/>
        <v>39.6446835</v>
      </c>
      <c r="V36" s="8">
        <v>0.642482</v>
      </c>
      <c r="W36" s="8">
        <f t="shared" si="32"/>
        <v>28.234937000000002</v>
      </c>
      <c r="X36" s="8">
        <v>0.512307</v>
      </c>
      <c r="Y36" s="8">
        <f t="shared" si="33"/>
        <v>23.791090499999996</v>
      </c>
      <c r="Z36" s="8">
        <v>5.4448</v>
      </c>
      <c r="AA36" s="8">
        <f t="shared" si="34"/>
        <v>177.2184</v>
      </c>
      <c r="AB36" s="8">
        <v>4.58568</v>
      </c>
      <c r="AC36" s="8">
        <f t="shared" si="35"/>
        <v>206.58956999999998</v>
      </c>
      <c r="AD36" s="8">
        <f t="shared" si="23"/>
        <v>383.80796999999995</v>
      </c>
    </row>
    <row r="37" spans="1:30" ht="22.5" customHeight="1">
      <c r="A37" s="135" t="s">
        <v>693</v>
      </c>
      <c r="B37" s="8">
        <v>76</v>
      </c>
      <c r="C37" s="8">
        <v>5.014346</v>
      </c>
      <c r="D37" s="8">
        <v>2.41781</v>
      </c>
      <c r="E37" s="79">
        <f t="shared" si="24"/>
        <v>313.44987799999996</v>
      </c>
      <c r="F37" s="79">
        <f t="shared" si="25"/>
        <v>239.54614800000002</v>
      </c>
      <c r="G37" s="8">
        <f t="shared" si="26"/>
        <v>552.996026</v>
      </c>
      <c r="H37" s="8">
        <v>0.519484</v>
      </c>
      <c r="I37" s="8">
        <v>0.75</v>
      </c>
      <c r="J37" s="8">
        <v>0.75</v>
      </c>
      <c r="K37" s="8">
        <v>0.519484</v>
      </c>
      <c r="L37" s="79">
        <f t="shared" si="27"/>
        <v>96.48078399999999</v>
      </c>
      <c r="M37" s="79">
        <f t="shared" si="28"/>
        <v>96.48078399999999</v>
      </c>
      <c r="N37" s="8">
        <f t="shared" si="29"/>
        <v>192.961568</v>
      </c>
      <c r="O37" s="8">
        <f t="shared" si="21"/>
        <v>45.6</v>
      </c>
      <c r="P37" s="8">
        <f t="shared" si="22"/>
        <v>45.6</v>
      </c>
      <c r="Q37" s="8">
        <f t="shared" si="19"/>
        <v>91.2</v>
      </c>
      <c r="R37" s="8">
        <v>1.158038</v>
      </c>
      <c r="S37" s="8">
        <f t="shared" si="30"/>
        <v>84.57185</v>
      </c>
      <c r="T37" s="8">
        <v>0.688471</v>
      </c>
      <c r="U37" s="8">
        <f t="shared" si="31"/>
        <v>58.57984999999999</v>
      </c>
      <c r="V37" s="8">
        <v>0.695268</v>
      </c>
      <c r="W37" s="8">
        <f t="shared" si="32"/>
        <v>50.8345</v>
      </c>
      <c r="X37" s="8">
        <v>0.413528</v>
      </c>
      <c r="Y37" s="8">
        <f t="shared" si="33"/>
        <v>35.18173</v>
      </c>
      <c r="Z37" s="8">
        <v>5.80542</v>
      </c>
      <c r="AA37" s="8">
        <f t="shared" si="34"/>
        <v>427.5083599999999</v>
      </c>
      <c r="AB37" s="8">
        <v>3.92715</v>
      </c>
      <c r="AC37" s="8">
        <f t="shared" si="35"/>
        <v>323.48754</v>
      </c>
      <c r="AD37" s="8">
        <f t="shared" si="23"/>
        <v>750.9958999999999</v>
      </c>
    </row>
    <row r="38" spans="1:30" ht="22.5" customHeight="1">
      <c r="A38" s="135" t="s">
        <v>694</v>
      </c>
      <c r="B38" s="8">
        <v>48</v>
      </c>
      <c r="C38" s="8">
        <v>2.933919</v>
      </c>
      <c r="D38" s="8">
        <v>2.264374</v>
      </c>
      <c r="E38" s="79">
        <f t="shared" si="24"/>
        <v>190.75835999999998</v>
      </c>
      <c r="F38" s="79">
        <f t="shared" si="25"/>
        <v>112.37241599999999</v>
      </c>
      <c r="G38" s="8">
        <f t="shared" si="26"/>
        <v>303.13077599999997</v>
      </c>
      <c r="H38" s="8">
        <v>0.519484</v>
      </c>
      <c r="I38" s="8">
        <v>0.75</v>
      </c>
      <c r="J38" s="8">
        <v>0.75</v>
      </c>
      <c r="K38" s="8">
        <v>0.519484</v>
      </c>
      <c r="L38" s="79">
        <f t="shared" si="27"/>
        <v>60.93523199999999</v>
      </c>
      <c r="M38" s="79">
        <f t="shared" si="28"/>
        <v>60.93523199999999</v>
      </c>
      <c r="N38" s="8">
        <f t="shared" si="29"/>
        <v>121.870464</v>
      </c>
      <c r="O38" s="8">
        <f t="shared" si="21"/>
        <v>28.799999999999997</v>
      </c>
      <c r="P38" s="8">
        <f t="shared" si="22"/>
        <v>28.799999999999997</v>
      </c>
      <c r="Q38" s="8">
        <f t="shared" si="19"/>
        <v>57.599999999999994</v>
      </c>
      <c r="R38" s="8">
        <v>0.819623</v>
      </c>
      <c r="S38" s="8">
        <f t="shared" si="30"/>
        <v>47.463864</v>
      </c>
      <c r="T38" s="8">
        <v>0.623296</v>
      </c>
      <c r="U38" s="8">
        <f t="shared" si="31"/>
        <v>31.482408000000003</v>
      </c>
      <c r="V38" s="8">
        <v>0.4912</v>
      </c>
      <c r="W38" s="8">
        <f t="shared" si="32"/>
        <v>28.475232000000002</v>
      </c>
      <c r="X38" s="8">
        <v>0.374423</v>
      </c>
      <c r="Y38" s="8">
        <f t="shared" si="33"/>
        <v>18.910824</v>
      </c>
      <c r="Z38" s="8">
        <v>4.44497</v>
      </c>
      <c r="AA38" s="8">
        <f t="shared" si="34"/>
        <v>246.00936</v>
      </c>
      <c r="AB38" s="8">
        <v>3.67392</v>
      </c>
      <c r="AC38" s="8">
        <f t="shared" si="35"/>
        <v>182.42568</v>
      </c>
      <c r="AD38" s="8">
        <f t="shared" si="23"/>
        <v>428.43503999999996</v>
      </c>
    </row>
    <row r="39" spans="1:30" ht="22.5" customHeight="1">
      <c r="A39" s="8" t="s">
        <v>695</v>
      </c>
      <c r="B39" s="8">
        <v>127</v>
      </c>
      <c r="C39" s="8">
        <v>4.331249</v>
      </c>
      <c r="D39" s="8">
        <v>6.791083</v>
      </c>
      <c r="E39" s="79">
        <f t="shared" si="24"/>
        <v>461.33816799999994</v>
      </c>
      <c r="F39" s="79">
        <f t="shared" si="25"/>
        <v>575.0215195000001</v>
      </c>
      <c r="G39" s="8">
        <f t="shared" si="26"/>
        <v>1036.3596875</v>
      </c>
      <c r="H39" s="8">
        <v>0.519484</v>
      </c>
      <c r="I39" s="8">
        <v>0.75</v>
      </c>
      <c r="J39" s="8">
        <v>0.75</v>
      </c>
      <c r="K39" s="8">
        <v>0.519484</v>
      </c>
      <c r="L39" s="79">
        <f t="shared" si="27"/>
        <v>161.22446799999997</v>
      </c>
      <c r="M39" s="79">
        <f t="shared" si="28"/>
        <v>161.22446799999997</v>
      </c>
      <c r="N39" s="8">
        <f t="shared" si="29"/>
        <v>322.448936</v>
      </c>
      <c r="O39" s="8">
        <f t="shared" si="21"/>
        <v>76.2</v>
      </c>
      <c r="P39" s="8">
        <f t="shared" si="22"/>
        <v>76.2</v>
      </c>
      <c r="Q39" s="8">
        <f t="shared" si="19"/>
        <v>152.4</v>
      </c>
      <c r="R39" s="8">
        <v>1.289778</v>
      </c>
      <c r="S39" s="8">
        <f t="shared" si="30"/>
        <v>133.9469635</v>
      </c>
      <c r="T39" s="8">
        <v>1.712536</v>
      </c>
      <c r="U39" s="8">
        <f t="shared" si="31"/>
        <v>148.325332</v>
      </c>
      <c r="V39" s="8">
        <v>0.774312</v>
      </c>
      <c r="W39" s="8">
        <f t="shared" si="32"/>
        <v>80.360012</v>
      </c>
      <c r="X39" s="8">
        <v>1.027967</v>
      </c>
      <c r="Y39" s="8">
        <f t="shared" si="33"/>
        <v>89.051765</v>
      </c>
      <c r="Z39" s="8">
        <v>6.33238</v>
      </c>
      <c r="AA39" s="8">
        <f t="shared" si="34"/>
        <v>684.3617249999999</v>
      </c>
      <c r="AB39" s="8">
        <v>8.02341</v>
      </c>
      <c r="AC39" s="8">
        <f t="shared" si="35"/>
        <v>742.7804550000001</v>
      </c>
      <c r="AD39" s="8">
        <f t="shared" si="23"/>
        <v>1427.1421799999998</v>
      </c>
    </row>
    <row r="40" spans="1:30" ht="22.5" customHeight="1">
      <c r="A40" s="135" t="s">
        <v>696</v>
      </c>
      <c r="B40" s="8">
        <v>115</v>
      </c>
      <c r="C40" s="8">
        <v>5.026741</v>
      </c>
      <c r="D40" s="8">
        <v>3.087204</v>
      </c>
      <c r="E40" s="79">
        <f aca="true" t="shared" si="36" ref="E40:E51">(C40+C39)/2*B40</f>
        <v>538.084425</v>
      </c>
      <c r="F40" s="79">
        <f aca="true" t="shared" si="37" ref="F40:F51">(D40+D39)/2*B40</f>
        <v>568.0015025</v>
      </c>
      <c r="G40" s="8">
        <f t="shared" si="26"/>
        <v>1106.0859275</v>
      </c>
      <c r="H40" s="8">
        <v>0.519484</v>
      </c>
      <c r="I40" s="8">
        <v>0.75</v>
      </c>
      <c r="J40" s="8">
        <v>0.75</v>
      </c>
      <c r="K40" s="8">
        <v>0.519484</v>
      </c>
      <c r="L40" s="79">
        <f t="shared" si="27"/>
        <v>145.99066</v>
      </c>
      <c r="M40" s="79">
        <f t="shared" si="28"/>
        <v>145.99066</v>
      </c>
      <c r="N40" s="8">
        <f t="shared" si="29"/>
        <v>291.98132000000004</v>
      </c>
      <c r="O40" s="8">
        <f t="shared" si="21"/>
        <v>69</v>
      </c>
      <c r="P40" s="8">
        <f t="shared" si="22"/>
        <v>69</v>
      </c>
      <c r="Q40" s="8">
        <f t="shared" si="19"/>
        <v>138</v>
      </c>
      <c r="R40" s="8">
        <v>1.094985</v>
      </c>
      <c r="S40" s="8">
        <f t="shared" si="30"/>
        <v>137.12387250000003</v>
      </c>
      <c r="T40" s="8">
        <v>0.822987</v>
      </c>
      <c r="U40" s="8">
        <f t="shared" si="31"/>
        <v>145.7925725</v>
      </c>
      <c r="V40" s="8">
        <v>0.657436</v>
      </c>
      <c r="W40" s="8">
        <f t="shared" si="32"/>
        <v>82.32551</v>
      </c>
      <c r="X40" s="8">
        <v>0.494237</v>
      </c>
      <c r="Y40" s="8">
        <f t="shared" si="33"/>
        <v>87.52673</v>
      </c>
      <c r="Z40" s="8">
        <v>5.55321</v>
      </c>
      <c r="AA40" s="8">
        <f t="shared" si="34"/>
        <v>683.421425</v>
      </c>
      <c r="AB40" s="8">
        <v>4.46521</v>
      </c>
      <c r="AC40" s="8">
        <f t="shared" si="35"/>
        <v>718.0956500000001</v>
      </c>
      <c r="AD40" s="8">
        <f t="shared" si="23"/>
        <v>1401.5170750000002</v>
      </c>
    </row>
    <row r="41" spans="1:30" ht="22.5" customHeight="1">
      <c r="A41" s="135" t="s">
        <v>697</v>
      </c>
      <c r="B41" s="8">
        <v>79</v>
      </c>
      <c r="C41" s="8">
        <v>5.403125</v>
      </c>
      <c r="D41" s="8">
        <v>3.994474</v>
      </c>
      <c r="E41" s="79">
        <f t="shared" si="36"/>
        <v>411.979707</v>
      </c>
      <c r="F41" s="79">
        <f t="shared" si="37"/>
        <v>279.72628100000003</v>
      </c>
      <c r="G41" s="8">
        <f t="shared" si="26"/>
        <v>691.705988</v>
      </c>
      <c r="H41" s="8">
        <v>0.519484</v>
      </c>
      <c r="I41" s="8">
        <v>0.75</v>
      </c>
      <c r="J41" s="8">
        <v>0.75</v>
      </c>
      <c r="K41" s="8">
        <v>0.519484</v>
      </c>
      <c r="L41" s="79">
        <f t="shared" si="27"/>
        <v>100.28923599999999</v>
      </c>
      <c r="M41" s="79">
        <f t="shared" si="28"/>
        <v>100.28923599999999</v>
      </c>
      <c r="N41" s="8">
        <f t="shared" si="29"/>
        <v>200.578472</v>
      </c>
      <c r="O41" s="8">
        <f t="shared" si="21"/>
        <v>47.4</v>
      </c>
      <c r="P41" s="8">
        <f t="shared" si="22"/>
        <v>47.4</v>
      </c>
      <c r="Q41" s="8">
        <f t="shared" si="19"/>
        <v>94.8</v>
      </c>
      <c r="R41" s="8">
        <v>1.313202</v>
      </c>
      <c r="S41" s="8">
        <f t="shared" si="30"/>
        <v>95.1233865</v>
      </c>
      <c r="T41" s="8">
        <v>1.06542</v>
      </c>
      <c r="U41" s="8">
        <f t="shared" si="31"/>
        <v>74.5920765</v>
      </c>
      <c r="V41" s="8">
        <v>0.783886</v>
      </c>
      <c r="W41" s="8">
        <f t="shared" si="32"/>
        <v>56.932218999999996</v>
      </c>
      <c r="X41" s="8">
        <v>0.639697</v>
      </c>
      <c r="Y41" s="8">
        <f t="shared" si="33"/>
        <v>44.790393</v>
      </c>
      <c r="Z41" s="8">
        <v>6.3962</v>
      </c>
      <c r="AA41" s="8">
        <f t="shared" si="34"/>
        <v>472.00169500000004</v>
      </c>
      <c r="AB41" s="8">
        <v>5.43495</v>
      </c>
      <c r="AC41" s="8">
        <f t="shared" si="35"/>
        <v>391.05631999999997</v>
      </c>
      <c r="AD41" s="8">
        <f t="shared" si="23"/>
        <v>863.0580150000001</v>
      </c>
    </row>
    <row r="42" spans="1:30" ht="22.5" customHeight="1">
      <c r="A42" s="135" t="s">
        <v>698</v>
      </c>
      <c r="B42" s="8">
        <v>86</v>
      </c>
      <c r="C42" s="8">
        <v>5.638587</v>
      </c>
      <c r="D42" s="8">
        <v>3.013544</v>
      </c>
      <c r="E42" s="79">
        <f t="shared" si="36"/>
        <v>474.79361600000004</v>
      </c>
      <c r="F42" s="79">
        <f t="shared" si="37"/>
        <v>301.344774</v>
      </c>
      <c r="G42" s="8">
        <f t="shared" si="26"/>
        <v>776.13839</v>
      </c>
      <c r="H42" s="8">
        <v>0.519484</v>
      </c>
      <c r="I42" s="8">
        <v>0.75</v>
      </c>
      <c r="J42" s="8">
        <v>0.75</v>
      </c>
      <c r="K42" s="8">
        <v>0.519484</v>
      </c>
      <c r="L42" s="79">
        <f t="shared" si="27"/>
        <v>109.17562399999998</v>
      </c>
      <c r="M42" s="79">
        <f t="shared" si="28"/>
        <v>109.17562399999998</v>
      </c>
      <c r="N42" s="8">
        <f t="shared" si="29"/>
        <v>218.351248</v>
      </c>
      <c r="O42" s="8">
        <f t="shared" si="21"/>
        <v>51.6</v>
      </c>
      <c r="P42" s="8">
        <f t="shared" si="22"/>
        <v>51.6</v>
      </c>
      <c r="Q42" s="8">
        <f t="shared" si="19"/>
        <v>103.2</v>
      </c>
      <c r="R42" s="8">
        <v>1.42366</v>
      </c>
      <c r="S42" s="8">
        <f t="shared" si="30"/>
        <v>117.68506599999999</v>
      </c>
      <c r="T42" s="8">
        <v>0.895801</v>
      </c>
      <c r="U42" s="8">
        <f t="shared" si="31"/>
        <v>84.332503</v>
      </c>
      <c r="V42" s="8">
        <v>0.854641</v>
      </c>
      <c r="W42" s="8">
        <f t="shared" si="32"/>
        <v>70.456661</v>
      </c>
      <c r="X42" s="8">
        <v>0.537926</v>
      </c>
      <c r="Y42" s="8">
        <f t="shared" si="33"/>
        <v>50.637789000000005</v>
      </c>
      <c r="Z42" s="8">
        <v>6.86791</v>
      </c>
      <c r="AA42" s="8">
        <f t="shared" si="34"/>
        <v>570.35673</v>
      </c>
      <c r="AB42" s="8">
        <v>4.75647</v>
      </c>
      <c r="AC42" s="8">
        <f t="shared" si="35"/>
        <v>438.23106</v>
      </c>
      <c r="AD42" s="8">
        <f t="shared" si="23"/>
        <v>1008.58779</v>
      </c>
    </row>
    <row r="43" spans="1:30" ht="22.5" customHeight="1">
      <c r="A43" s="135" t="s">
        <v>699</v>
      </c>
      <c r="B43" s="8">
        <v>64</v>
      </c>
      <c r="C43" s="8">
        <v>4.942294</v>
      </c>
      <c r="D43" s="8">
        <v>3.639229</v>
      </c>
      <c r="E43" s="79">
        <f t="shared" si="36"/>
        <v>338.58819200000005</v>
      </c>
      <c r="F43" s="79">
        <f t="shared" si="37"/>
        <v>212.888736</v>
      </c>
      <c r="G43" s="8">
        <f t="shared" si="26"/>
        <v>551.476928</v>
      </c>
      <c r="H43" s="8">
        <v>0.519484</v>
      </c>
      <c r="I43" s="8">
        <v>0.75</v>
      </c>
      <c r="J43" s="8">
        <v>0.75</v>
      </c>
      <c r="K43" s="8">
        <v>0.519484</v>
      </c>
      <c r="L43" s="79">
        <f t="shared" si="27"/>
        <v>81.24697599999999</v>
      </c>
      <c r="M43" s="79">
        <f t="shared" si="28"/>
        <v>81.24697599999999</v>
      </c>
      <c r="N43" s="8">
        <f t="shared" si="29"/>
        <v>162.493952</v>
      </c>
      <c r="O43" s="8">
        <f t="shared" si="21"/>
        <v>38.4</v>
      </c>
      <c r="P43" s="8">
        <f t="shared" si="22"/>
        <v>38.4</v>
      </c>
      <c r="Q43" s="8">
        <f t="shared" si="19"/>
        <v>76.8</v>
      </c>
      <c r="R43" s="8">
        <v>1.145659</v>
      </c>
      <c r="S43" s="8">
        <f t="shared" si="30"/>
        <v>82.218208</v>
      </c>
      <c r="T43" s="8">
        <v>0.82298</v>
      </c>
      <c r="U43" s="8">
        <f t="shared" si="31"/>
        <v>55.000992</v>
      </c>
      <c r="V43" s="8">
        <v>0.686272</v>
      </c>
      <c r="W43" s="8">
        <f t="shared" si="32"/>
        <v>49.309216</v>
      </c>
      <c r="X43" s="8">
        <v>0.494233</v>
      </c>
      <c r="Y43" s="8">
        <f t="shared" si="33"/>
        <v>33.029088</v>
      </c>
      <c r="Z43" s="8">
        <v>5.74545</v>
      </c>
      <c r="AA43" s="8">
        <f t="shared" si="34"/>
        <v>403.62752</v>
      </c>
      <c r="AB43" s="8">
        <v>4.46519</v>
      </c>
      <c r="AC43" s="8">
        <f t="shared" si="35"/>
        <v>295.09312</v>
      </c>
      <c r="AD43" s="8">
        <f t="shared" si="23"/>
        <v>698.72064</v>
      </c>
    </row>
    <row r="44" spans="1:30" ht="22.5" customHeight="1">
      <c r="A44" s="135" t="s">
        <v>700</v>
      </c>
      <c r="B44" s="8">
        <v>106</v>
      </c>
      <c r="C44" s="8">
        <v>7.320722</v>
      </c>
      <c r="D44" s="8">
        <v>2.463145</v>
      </c>
      <c r="E44" s="79">
        <f t="shared" si="36"/>
        <v>649.939848</v>
      </c>
      <c r="F44" s="79">
        <f t="shared" si="37"/>
        <v>323.425822</v>
      </c>
      <c r="G44" s="8">
        <f t="shared" si="26"/>
        <v>973.3656699999999</v>
      </c>
      <c r="H44" s="8">
        <v>0.519484</v>
      </c>
      <c r="I44" s="8">
        <v>0.75</v>
      </c>
      <c r="J44" s="8">
        <v>0.75</v>
      </c>
      <c r="K44" s="8">
        <v>0.519484</v>
      </c>
      <c r="L44" s="79">
        <f aca="true" t="shared" si="38" ref="L44:L51">(H44+H43+I44+I43)/2*B44</f>
        <v>134.56530399999997</v>
      </c>
      <c r="M44" s="79">
        <f aca="true" t="shared" si="39" ref="M44:M51">SUM(J44+J43+K44+K43)/2*B44</f>
        <v>134.56530399999997</v>
      </c>
      <c r="N44" s="8">
        <f t="shared" si="29"/>
        <v>269.130608</v>
      </c>
      <c r="O44" s="8">
        <f t="shared" si="21"/>
        <v>63.599999999999994</v>
      </c>
      <c r="P44" s="8">
        <f t="shared" si="22"/>
        <v>63.599999999999994</v>
      </c>
      <c r="Q44" s="8">
        <f t="shared" si="19"/>
        <v>127.19999999999999</v>
      </c>
      <c r="R44" s="8">
        <v>1.596755</v>
      </c>
      <c r="S44" s="8">
        <f t="shared" si="30"/>
        <v>145.34794200000002</v>
      </c>
      <c r="T44" s="8">
        <v>0.68663</v>
      </c>
      <c r="U44" s="8">
        <f t="shared" si="31"/>
        <v>80.00932999999999</v>
      </c>
      <c r="V44" s="8">
        <v>0.958498</v>
      </c>
      <c r="W44" s="8">
        <f t="shared" si="32"/>
        <v>87.17281</v>
      </c>
      <c r="X44" s="8">
        <v>0.412423</v>
      </c>
      <c r="Y44" s="8">
        <f t="shared" si="33"/>
        <v>48.05276799999999</v>
      </c>
      <c r="Z44" s="8">
        <v>7.56029</v>
      </c>
      <c r="AA44" s="8">
        <f t="shared" si="34"/>
        <v>705.20422</v>
      </c>
      <c r="AB44" s="8">
        <v>3.91979</v>
      </c>
      <c r="AC44" s="8">
        <f t="shared" si="35"/>
        <v>444.4039399999999</v>
      </c>
      <c r="AD44" s="8">
        <f t="shared" si="23"/>
        <v>1149.6081599999998</v>
      </c>
    </row>
    <row r="45" spans="1:30" ht="22.5" customHeight="1">
      <c r="A45" s="135" t="s">
        <v>701</v>
      </c>
      <c r="B45" s="8">
        <v>61</v>
      </c>
      <c r="C45" s="8">
        <v>5.806446</v>
      </c>
      <c r="D45" s="8">
        <v>2.731066</v>
      </c>
      <c r="E45" s="79">
        <f t="shared" si="36"/>
        <v>400.37862400000006</v>
      </c>
      <c r="F45" s="79">
        <f t="shared" si="37"/>
        <v>158.4234355</v>
      </c>
      <c r="G45" s="8">
        <f t="shared" si="26"/>
        <v>558.8020595</v>
      </c>
      <c r="H45" s="8">
        <v>0.519484</v>
      </c>
      <c r="I45" s="8">
        <v>0.75</v>
      </c>
      <c r="J45" s="8">
        <v>0.75</v>
      </c>
      <c r="K45" s="8">
        <v>0.519484</v>
      </c>
      <c r="L45" s="79">
        <f t="shared" si="38"/>
        <v>77.43852399999999</v>
      </c>
      <c r="M45" s="79">
        <f t="shared" si="39"/>
        <v>77.43852399999999</v>
      </c>
      <c r="N45" s="8">
        <f t="shared" si="29"/>
        <v>154.877048</v>
      </c>
      <c r="O45" s="8">
        <f t="shared" si="21"/>
        <v>36.6</v>
      </c>
      <c r="P45" s="8">
        <f t="shared" si="22"/>
        <v>36.6</v>
      </c>
      <c r="Q45" s="8">
        <f t="shared" si="19"/>
        <v>73.2</v>
      </c>
      <c r="R45" s="8">
        <v>1.596755</v>
      </c>
      <c r="S45" s="8">
        <f t="shared" si="30"/>
        <v>97.40205499999999</v>
      </c>
      <c r="T45" s="8">
        <v>0.746456</v>
      </c>
      <c r="U45" s="8">
        <f t="shared" si="31"/>
        <v>43.709123</v>
      </c>
      <c r="V45" s="8">
        <v>0.958498</v>
      </c>
      <c r="W45" s="8">
        <f t="shared" si="32"/>
        <v>58.468377999999994</v>
      </c>
      <c r="X45" s="8">
        <v>0.448107</v>
      </c>
      <c r="Y45" s="8">
        <f t="shared" si="33"/>
        <v>26.246165</v>
      </c>
      <c r="Z45" s="8">
        <v>7.56029</v>
      </c>
      <c r="AA45" s="8">
        <f t="shared" si="34"/>
        <v>461.17769</v>
      </c>
      <c r="AB45" s="8">
        <v>4.15909</v>
      </c>
      <c r="AC45" s="8">
        <f t="shared" si="35"/>
        <v>246.40583999999998</v>
      </c>
      <c r="AD45" s="8">
        <f t="shared" si="23"/>
        <v>707.58353</v>
      </c>
    </row>
    <row r="46" spans="1:30" ht="22.5" customHeight="1">
      <c r="A46" s="135" t="s">
        <v>702</v>
      </c>
      <c r="B46" s="8">
        <v>97</v>
      </c>
      <c r="C46" s="8">
        <v>3.604697</v>
      </c>
      <c r="D46" s="8">
        <v>5.817228</v>
      </c>
      <c r="E46" s="79">
        <f t="shared" si="36"/>
        <v>456.4404355</v>
      </c>
      <c r="F46" s="79">
        <f t="shared" si="37"/>
        <v>414.592259</v>
      </c>
      <c r="G46" s="8">
        <f t="shared" si="26"/>
        <v>871.0326945</v>
      </c>
      <c r="H46" s="8">
        <v>0.519484</v>
      </c>
      <c r="I46" s="8">
        <v>0.75</v>
      </c>
      <c r="J46" s="8">
        <v>0.75</v>
      </c>
      <c r="K46" s="8">
        <v>0.519484</v>
      </c>
      <c r="L46" s="79">
        <f t="shared" si="38"/>
        <v>123.13994799999999</v>
      </c>
      <c r="M46" s="79">
        <f t="shared" si="39"/>
        <v>123.13994799999999</v>
      </c>
      <c r="N46" s="8">
        <f t="shared" si="29"/>
        <v>246.279896</v>
      </c>
      <c r="O46" s="8">
        <f t="shared" si="21"/>
        <v>58.199999999999996</v>
      </c>
      <c r="P46" s="8">
        <f t="shared" si="22"/>
        <v>58.199999999999996</v>
      </c>
      <c r="Q46" s="8">
        <f t="shared" si="19"/>
        <v>116.39999999999999</v>
      </c>
      <c r="R46" s="8">
        <v>1.029679</v>
      </c>
      <c r="S46" s="8">
        <f t="shared" si="30"/>
        <v>127.38204899999998</v>
      </c>
      <c r="T46" s="8">
        <v>1.677098</v>
      </c>
      <c r="U46" s="8">
        <f t="shared" si="31"/>
        <v>117.54236900000001</v>
      </c>
      <c r="V46" s="8">
        <v>0.618252</v>
      </c>
      <c r="W46" s="8">
        <f t="shared" si="32"/>
        <v>76.472375</v>
      </c>
      <c r="X46" s="8">
        <v>0.998417</v>
      </c>
      <c r="Y46" s="8">
        <f t="shared" si="33"/>
        <v>70.156414</v>
      </c>
      <c r="Z46" s="8">
        <v>5.29198</v>
      </c>
      <c r="AA46" s="8">
        <f t="shared" si="34"/>
        <v>623.335095</v>
      </c>
      <c r="AB46" s="8">
        <v>7.88166</v>
      </c>
      <c r="AC46" s="8">
        <f t="shared" si="35"/>
        <v>583.976375</v>
      </c>
      <c r="AD46" s="8">
        <f t="shared" si="23"/>
        <v>1207.31147</v>
      </c>
    </row>
    <row r="47" spans="1:30" ht="22.5" customHeight="1">
      <c r="A47" s="8" t="s">
        <v>703</v>
      </c>
      <c r="B47" s="8">
        <v>54</v>
      </c>
      <c r="C47" s="8">
        <v>5.573325</v>
      </c>
      <c r="D47" s="8">
        <v>5.487461</v>
      </c>
      <c r="E47" s="79">
        <f t="shared" si="36"/>
        <v>247.80659399999996</v>
      </c>
      <c r="F47" s="79">
        <f t="shared" si="37"/>
        <v>305.226603</v>
      </c>
      <c r="G47" s="8">
        <f t="shared" si="26"/>
        <v>553.0331970000001</v>
      </c>
      <c r="H47" s="8">
        <v>0.519484</v>
      </c>
      <c r="I47" s="8">
        <v>0.75</v>
      </c>
      <c r="J47" s="8">
        <v>0.75</v>
      </c>
      <c r="K47" s="8">
        <v>0.519484</v>
      </c>
      <c r="L47" s="79">
        <f t="shared" si="38"/>
        <v>68.55213599999999</v>
      </c>
      <c r="M47" s="79">
        <f t="shared" si="39"/>
        <v>68.55213599999999</v>
      </c>
      <c r="N47" s="8">
        <f t="shared" si="29"/>
        <v>137.104272</v>
      </c>
      <c r="O47" s="8">
        <f t="shared" si="21"/>
        <v>32.4</v>
      </c>
      <c r="P47" s="8">
        <f t="shared" si="22"/>
        <v>32.4</v>
      </c>
      <c r="Q47" s="8">
        <f t="shared" si="19"/>
        <v>64.8</v>
      </c>
      <c r="R47" s="8">
        <v>1.652816</v>
      </c>
      <c r="S47" s="8">
        <f t="shared" si="30"/>
        <v>72.42736500000001</v>
      </c>
      <c r="T47" s="8">
        <v>1.726716</v>
      </c>
      <c r="U47" s="8">
        <f t="shared" si="31"/>
        <v>91.90297799999999</v>
      </c>
      <c r="V47" s="8">
        <v>0.995656</v>
      </c>
      <c r="W47" s="8">
        <f t="shared" si="32"/>
        <v>43.575516</v>
      </c>
      <c r="X47" s="8">
        <v>1.036475</v>
      </c>
      <c r="Y47" s="8">
        <f t="shared" si="33"/>
        <v>54.942084</v>
      </c>
      <c r="Z47" s="8">
        <v>7.808</v>
      </c>
      <c r="AA47" s="8">
        <f t="shared" si="34"/>
        <v>353.69946</v>
      </c>
      <c r="AB47" s="8">
        <v>8.08013</v>
      </c>
      <c r="AC47" s="8">
        <f t="shared" si="35"/>
        <v>430.96833000000004</v>
      </c>
      <c r="AD47" s="8">
        <f t="shared" si="23"/>
        <v>784.66779</v>
      </c>
    </row>
    <row r="48" spans="1:30" ht="22.5" customHeight="1">
      <c r="A48" s="135" t="s">
        <v>704</v>
      </c>
      <c r="B48" s="8">
        <v>26</v>
      </c>
      <c r="C48" s="8">
        <v>3.358955</v>
      </c>
      <c r="D48" s="8">
        <v>11.384661</v>
      </c>
      <c r="E48" s="79">
        <f t="shared" si="36"/>
        <v>116.11963999999998</v>
      </c>
      <c r="F48" s="79">
        <f t="shared" si="37"/>
        <v>219.33758599999996</v>
      </c>
      <c r="G48" s="8">
        <f t="shared" si="26"/>
        <v>335.457226</v>
      </c>
      <c r="H48" s="8">
        <v>0.519484</v>
      </c>
      <c r="I48" s="8">
        <v>0.75</v>
      </c>
      <c r="J48" s="8">
        <v>0.75</v>
      </c>
      <c r="K48" s="8">
        <v>0.519484</v>
      </c>
      <c r="L48" s="79">
        <f t="shared" si="38"/>
        <v>33.006584</v>
      </c>
      <c r="M48" s="79">
        <f t="shared" si="39"/>
        <v>33.006584</v>
      </c>
      <c r="N48" s="8">
        <f t="shared" si="29"/>
        <v>66.01316800000001</v>
      </c>
      <c r="O48" s="8">
        <f t="shared" si="21"/>
        <v>15.6</v>
      </c>
      <c r="P48" s="8">
        <f t="shared" si="22"/>
        <v>15.6</v>
      </c>
      <c r="Q48" s="8">
        <f t="shared" si="19"/>
        <v>31.2</v>
      </c>
      <c r="R48" s="8">
        <v>1.171205</v>
      </c>
      <c r="S48" s="8">
        <f t="shared" si="30"/>
        <v>36.712273</v>
      </c>
      <c r="T48" s="8">
        <v>2.304291</v>
      </c>
      <c r="U48" s="8">
        <f t="shared" si="31"/>
        <v>52.403090999999996</v>
      </c>
      <c r="V48" s="8">
        <v>0.704531</v>
      </c>
      <c r="W48" s="8">
        <f t="shared" si="32"/>
        <v>22.102431000000003</v>
      </c>
      <c r="X48" s="8">
        <v>1.383178</v>
      </c>
      <c r="Y48" s="8">
        <f t="shared" si="33"/>
        <v>31.455489000000004</v>
      </c>
      <c r="Z48" s="8">
        <v>5.86717</v>
      </c>
      <c r="AA48" s="8">
        <f t="shared" si="34"/>
        <v>177.77721</v>
      </c>
      <c r="AB48" s="8">
        <v>10.391</v>
      </c>
      <c r="AC48" s="8">
        <f t="shared" si="35"/>
        <v>240.12469000000004</v>
      </c>
      <c r="AD48" s="8">
        <f t="shared" si="23"/>
        <v>417.90190000000007</v>
      </c>
    </row>
    <row r="49" spans="1:30" ht="22.5" customHeight="1">
      <c r="A49" s="135" t="s">
        <v>705</v>
      </c>
      <c r="B49" s="8">
        <v>107</v>
      </c>
      <c r="C49" s="8">
        <v>5.32088</v>
      </c>
      <c r="D49" s="8">
        <v>7.182868</v>
      </c>
      <c r="E49" s="79">
        <f t="shared" si="36"/>
        <v>464.37117250000006</v>
      </c>
      <c r="F49" s="79">
        <f t="shared" si="37"/>
        <v>993.3628015</v>
      </c>
      <c r="G49" s="8">
        <f t="shared" si="26"/>
        <v>1457.7339739999998</v>
      </c>
      <c r="H49" s="8">
        <v>0.519484</v>
      </c>
      <c r="I49" s="8">
        <v>0.75</v>
      </c>
      <c r="J49" s="8">
        <v>0.75</v>
      </c>
      <c r="K49" s="8">
        <v>0.519484</v>
      </c>
      <c r="L49" s="79">
        <f t="shared" si="38"/>
        <v>135.83478799999997</v>
      </c>
      <c r="M49" s="79">
        <f t="shared" si="39"/>
        <v>135.83478799999997</v>
      </c>
      <c r="N49" s="8">
        <f t="shared" si="29"/>
        <v>271.669576</v>
      </c>
      <c r="O49" s="8">
        <f t="shared" si="21"/>
        <v>64.2</v>
      </c>
      <c r="P49" s="8">
        <f t="shared" si="22"/>
        <v>64.2</v>
      </c>
      <c r="Q49" s="8">
        <f t="shared" si="19"/>
        <v>128.4</v>
      </c>
      <c r="R49" s="8">
        <v>1.365916</v>
      </c>
      <c r="S49" s="8">
        <f t="shared" si="30"/>
        <v>135.7359735</v>
      </c>
      <c r="T49" s="8">
        <v>1.955766</v>
      </c>
      <c r="U49" s="8">
        <f t="shared" si="31"/>
        <v>227.9130495</v>
      </c>
      <c r="V49" s="8">
        <v>0.819995</v>
      </c>
      <c r="W49" s="8">
        <f t="shared" si="32"/>
        <v>81.562141</v>
      </c>
      <c r="X49" s="8">
        <v>1.173905</v>
      </c>
      <c r="Y49" s="8">
        <f t="shared" si="33"/>
        <v>136.8039405</v>
      </c>
      <c r="Z49" s="8">
        <v>6.63693</v>
      </c>
      <c r="AA49" s="8">
        <f t="shared" si="34"/>
        <v>668.9693500000001</v>
      </c>
      <c r="AB49" s="8">
        <v>8.99633</v>
      </c>
      <c r="AC49" s="8">
        <f t="shared" si="35"/>
        <v>1037.222155</v>
      </c>
      <c r="AD49" s="8">
        <f t="shared" si="23"/>
        <v>1706.191505</v>
      </c>
    </row>
    <row r="50" spans="1:30" ht="22.5" customHeight="1">
      <c r="A50" s="135" t="s">
        <v>706</v>
      </c>
      <c r="B50" s="8">
        <v>114</v>
      </c>
      <c r="C50" s="8">
        <v>3.733775</v>
      </c>
      <c r="D50" s="8">
        <v>14.523642</v>
      </c>
      <c r="E50" s="79">
        <f t="shared" si="36"/>
        <v>516.1153350000001</v>
      </c>
      <c r="F50" s="79">
        <f t="shared" si="37"/>
        <v>1237.27107</v>
      </c>
      <c r="G50" s="8">
        <f t="shared" si="26"/>
        <v>1753.3864050000002</v>
      </c>
      <c r="H50" s="8">
        <v>0.519484</v>
      </c>
      <c r="I50" s="8">
        <v>0.75</v>
      </c>
      <c r="J50" s="8">
        <v>1.75</v>
      </c>
      <c r="K50" s="8">
        <v>1.519484</v>
      </c>
      <c r="L50" s="79">
        <f t="shared" si="38"/>
        <v>144.72117599999999</v>
      </c>
      <c r="M50" s="79">
        <f t="shared" si="39"/>
        <v>258.721176</v>
      </c>
      <c r="N50" s="8">
        <f t="shared" si="29"/>
        <v>403.4423520000001</v>
      </c>
      <c r="O50" s="8">
        <f t="shared" si="21"/>
        <v>68.39999999999999</v>
      </c>
      <c r="P50" s="8">
        <f t="shared" si="22"/>
        <v>68.39999999999999</v>
      </c>
      <c r="Q50" s="8">
        <f t="shared" si="19"/>
        <v>136.79999999999998</v>
      </c>
      <c r="R50" s="8">
        <v>0.850659</v>
      </c>
      <c r="S50" s="8">
        <f t="shared" si="30"/>
        <v>126.34477499999998</v>
      </c>
      <c r="T50" s="8">
        <v>1.596755</v>
      </c>
      <c r="U50" s="8">
        <f t="shared" si="31"/>
        <v>202.49369699999997</v>
      </c>
      <c r="V50" s="8">
        <v>0.51084</v>
      </c>
      <c r="W50" s="8">
        <f t="shared" si="32"/>
        <v>75.857595</v>
      </c>
      <c r="X50" s="8">
        <v>0.958498</v>
      </c>
      <c r="Y50" s="8">
        <f t="shared" si="33"/>
        <v>121.546971</v>
      </c>
      <c r="Z50" s="8">
        <v>4.5759</v>
      </c>
      <c r="AA50" s="8">
        <f t="shared" si="34"/>
        <v>639.13131</v>
      </c>
      <c r="AB50" s="8">
        <v>7.56029</v>
      </c>
      <c r="AC50" s="8">
        <f t="shared" si="35"/>
        <v>943.7273400000001</v>
      </c>
      <c r="AD50" s="8">
        <f t="shared" si="23"/>
        <v>1582.8586500000001</v>
      </c>
    </row>
    <row r="51" spans="1:30" ht="22.5" customHeight="1">
      <c r="A51" s="141" t="s">
        <v>707</v>
      </c>
      <c r="B51" s="22">
        <v>0</v>
      </c>
      <c r="C51" s="22">
        <v>3.845334</v>
      </c>
      <c r="D51" s="22">
        <v>2.813743</v>
      </c>
      <c r="E51" s="79">
        <f t="shared" si="36"/>
        <v>0</v>
      </c>
      <c r="F51" s="79">
        <f t="shared" si="37"/>
        <v>0</v>
      </c>
      <c r="G51" s="22">
        <f t="shared" si="26"/>
        <v>0</v>
      </c>
      <c r="H51" s="22">
        <v>0.519484</v>
      </c>
      <c r="I51" s="22">
        <v>0.75</v>
      </c>
      <c r="J51" s="22">
        <v>2.75</v>
      </c>
      <c r="K51" s="22">
        <v>2.519484</v>
      </c>
      <c r="L51" s="79">
        <f t="shared" si="38"/>
        <v>0</v>
      </c>
      <c r="M51" s="79">
        <f t="shared" si="39"/>
        <v>0</v>
      </c>
      <c r="N51" s="22">
        <f t="shared" si="29"/>
        <v>0</v>
      </c>
      <c r="O51" s="8">
        <f t="shared" si="21"/>
        <v>0</v>
      </c>
      <c r="P51" s="8">
        <f t="shared" si="22"/>
        <v>0</v>
      </c>
      <c r="Q51" s="22">
        <f t="shared" si="19"/>
        <v>0</v>
      </c>
      <c r="R51" s="22">
        <v>0.868368</v>
      </c>
      <c r="S51" s="22">
        <f t="shared" si="30"/>
        <v>0</v>
      </c>
      <c r="T51" s="22">
        <v>1.029335</v>
      </c>
      <c r="U51" s="22">
        <f t="shared" si="31"/>
        <v>0</v>
      </c>
      <c r="V51" s="22">
        <v>0.521466</v>
      </c>
      <c r="W51" s="22">
        <f t="shared" si="32"/>
        <v>0</v>
      </c>
      <c r="X51" s="22">
        <v>0.618046</v>
      </c>
      <c r="Y51" s="22">
        <f t="shared" si="33"/>
        <v>0</v>
      </c>
      <c r="Z51" s="22">
        <v>4.64674</v>
      </c>
      <c r="AA51" s="22">
        <f t="shared" si="34"/>
        <v>0</v>
      </c>
      <c r="AB51" s="22">
        <v>6.702</v>
      </c>
      <c r="AC51" s="22">
        <f t="shared" si="35"/>
        <v>0</v>
      </c>
      <c r="AD51" s="22">
        <f t="shared" si="23"/>
        <v>0</v>
      </c>
    </row>
    <row r="52" spans="1:30" ht="22.5" customHeight="1">
      <c r="A52" s="142">
        <f>6053-4022</f>
        <v>2031</v>
      </c>
      <c r="B52" s="69">
        <f>SUM(B24:B51)</f>
        <v>2044</v>
      </c>
      <c r="C52" s="69"/>
      <c r="D52" s="69"/>
      <c r="E52" s="69">
        <f>SUM(E26:E51)</f>
        <v>12304.063128500004</v>
      </c>
      <c r="F52" s="69">
        <f>SUM(F26:F51)</f>
        <v>17375.984734499998</v>
      </c>
      <c r="G52" s="69">
        <f>SUM(G26:G51)</f>
        <v>25515.277413000003</v>
      </c>
      <c r="H52" s="69"/>
      <c r="I52" s="69"/>
      <c r="J52" s="69"/>
      <c r="K52" s="69"/>
      <c r="L52" s="69">
        <f aca="true" t="shared" si="40" ref="L52:Q52">SUM(L26:L51)</f>
        <v>3039.1446960000003</v>
      </c>
      <c r="M52" s="69">
        <f t="shared" si="40"/>
        <v>4041.783495999999</v>
      </c>
      <c r="N52" s="69">
        <f t="shared" si="40"/>
        <v>6192.2893920000015</v>
      </c>
      <c r="O52" s="69">
        <f t="shared" si="40"/>
        <v>1436.4</v>
      </c>
      <c r="P52" s="69">
        <f t="shared" si="40"/>
        <v>1856.3999999999999</v>
      </c>
      <c r="Q52" s="69">
        <f t="shared" si="40"/>
        <v>2872.8</v>
      </c>
      <c r="R52" s="69"/>
      <c r="S52" s="69">
        <f>SUM(S26:S51)</f>
        <v>2972.2433295</v>
      </c>
      <c r="T52" s="69"/>
      <c r="U52" s="69">
        <f>SUM(U26:U51)</f>
        <v>3247.3850615</v>
      </c>
      <c r="V52" s="69"/>
      <c r="W52" s="69">
        <f>SUM(W26:W51)</f>
        <v>1783.5292655000003</v>
      </c>
      <c r="X52" s="69"/>
      <c r="Y52" s="69">
        <f>SUM(Y26:Y51)</f>
        <v>1948.7176634999998</v>
      </c>
      <c r="Z52" s="69"/>
      <c r="AA52" s="69">
        <f>SUM(AA26:AA51)</f>
        <v>15134.939790000002</v>
      </c>
      <c r="AB52" s="69"/>
      <c r="AC52" s="69">
        <f>SUM(AC26:AC51)</f>
        <v>20921.16934</v>
      </c>
      <c r="AD52" s="69">
        <f>SUM(AD26:AD51)</f>
        <v>30933.56263</v>
      </c>
    </row>
    <row r="53" spans="1:30" ht="22.5" customHeight="1">
      <c r="A53" s="142"/>
      <c r="B53" s="69">
        <f>B52+B18</f>
        <v>3408</v>
      </c>
      <c r="C53" s="69"/>
      <c r="D53" s="69"/>
      <c r="E53" s="69"/>
      <c r="F53" s="69">
        <f>SUM(E52:F52)</f>
        <v>29680.047863</v>
      </c>
      <c r="G53" s="69"/>
      <c r="H53" s="69"/>
      <c r="I53" s="69"/>
      <c r="J53" s="69"/>
      <c r="K53" s="69"/>
      <c r="L53" s="69"/>
      <c r="M53" s="69">
        <f>SUM(L52:M52)</f>
        <v>7080.928191999999</v>
      </c>
      <c r="N53" s="69"/>
      <c r="O53" s="69"/>
      <c r="P53" s="69">
        <f>SUM(O52:P52)</f>
        <v>3292.8</v>
      </c>
      <c r="Q53" s="69"/>
      <c r="R53" s="69"/>
      <c r="S53" s="69"/>
      <c r="T53" s="69"/>
      <c r="U53" s="69">
        <f>SUM(S52:U52)</f>
        <v>6219.628391</v>
      </c>
      <c r="V53" s="69"/>
      <c r="W53" s="69"/>
      <c r="X53" s="69"/>
      <c r="Y53" s="69">
        <f>SUM(W52:Y52)</f>
        <v>3732.246929</v>
      </c>
      <c r="Z53" s="69"/>
      <c r="AA53" s="69"/>
      <c r="AB53" s="69"/>
      <c r="AC53" s="69">
        <f>SUM(AA52:AC52)</f>
        <v>36056.109130000004</v>
      </c>
      <c r="AD53" s="69"/>
    </row>
    <row r="54" spans="1:30" ht="24" customHeight="1">
      <c r="A54" s="143"/>
      <c r="B54" s="144"/>
      <c r="C54" s="144"/>
      <c r="D54" s="144"/>
      <c r="E54" s="144"/>
      <c r="F54" s="144"/>
      <c r="G54" s="145">
        <f>SUM(G24:G51)</f>
        <v>25515.277413000003</v>
      </c>
      <c r="H54" s="144"/>
      <c r="I54" s="144"/>
      <c r="J54" s="144"/>
      <c r="K54" s="144"/>
      <c r="L54" s="144"/>
      <c r="M54" s="144"/>
      <c r="N54" s="145">
        <v>2394.7665275</v>
      </c>
      <c r="O54" s="145"/>
      <c r="P54" s="145"/>
      <c r="Q54" s="145">
        <v>2394.7665275</v>
      </c>
      <c r="R54" s="144"/>
      <c r="S54" s="145">
        <f>SUM(S24:S51)</f>
        <v>2972.2433295</v>
      </c>
      <c r="T54" s="144"/>
      <c r="U54" s="145">
        <f>SUM(U24:U51)</f>
        <v>3247.3850615</v>
      </c>
      <c r="V54" s="144"/>
      <c r="W54" s="145">
        <f>SUM(W24:W51)</f>
        <v>1783.5292655000003</v>
      </c>
      <c r="X54" s="144"/>
      <c r="Y54" s="145">
        <f>SUM(Y24:Y51)</f>
        <v>1948.7176634999998</v>
      </c>
      <c r="Z54" s="144"/>
      <c r="AA54" s="144"/>
      <c r="AB54" s="144"/>
      <c r="AC54" s="144"/>
      <c r="AD54" s="145">
        <f>SUM(AD24:AD51)</f>
        <v>30933.56263</v>
      </c>
    </row>
    <row r="55" ht="14.25">
      <c r="B55" s="68">
        <f>B53+'[3]01'!B39</f>
        <v>6066</v>
      </c>
    </row>
    <row r="56" spans="1:30" ht="15.75">
      <c r="A56" s="448" t="s">
        <v>426</v>
      </c>
      <c r="B56" s="448" t="s">
        <v>632</v>
      </c>
      <c r="C56" s="448" t="s">
        <v>633</v>
      </c>
      <c r="D56" s="448"/>
      <c r="E56" s="536" t="s">
        <v>634</v>
      </c>
      <c r="F56" s="537"/>
      <c r="G56" s="448" t="s">
        <v>635</v>
      </c>
      <c r="H56" s="448" t="s">
        <v>636</v>
      </c>
      <c r="I56" s="448"/>
      <c r="J56" s="448"/>
      <c r="K56" s="448"/>
      <c r="L56" s="536" t="s">
        <v>637</v>
      </c>
      <c r="M56" s="537"/>
      <c r="N56" s="448" t="s">
        <v>638</v>
      </c>
      <c r="O56" s="536" t="s">
        <v>639</v>
      </c>
      <c r="P56" s="537"/>
      <c r="Q56" s="448" t="s">
        <v>640</v>
      </c>
      <c r="R56" s="448" t="s">
        <v>641</v>
      </c>
      <c r="S56" s="446"/>
      <c r="T56" s="446"/>
      <c r="U56" s="446"/>
      <c r="V56" s="448" t="s">
        <v>642</v>
      </c>
      <c r="W56" s="446"/>
      <c r="X56" s="446"/>
      <c r="Y56" s="446"/>
      <c r="Z56" s="448" t="s">
        <v>643</v>
      </c>
      <c r="AA56" s="448"/>
      <c r="AB56" s="448"/>
      <c r="AC56" s="448"/>
      <c r="AD56" s="448"/>
    </row>
    <row r="57" spans="1:30" ht="15.75">
      <c r="A57" s="448"/>
      <c r="B57" s="448"/>
      <c r="C57" s="8" t="s">
        <v>461</v>
      </c>
      <c r="D57" s="134" t="s">
        <v>460</v>
      </c>
      <c r="E57" s="8" t="s">
        <v>461</v>
      </c>
      <c r="F57" s="134" t="s">
        <v>460</v>
      </c>
      <c r="G57" s="448"/>
      <c r="H57" s="12" t="s">
        <v>645</v>
      </c>
      <c r="I57" s="8" t="s">
        <v>646</v>
      </c>
      <c r="J57" s="12" t="s">
        <v>647</v>
      </c>
      <c r="K57" s="8" t="s">
        <v>648</v>
      </c>
      <c r="L57" s="8" t="s">
        <v>461</v>
      </c>
      <c r="M57" s="134" t="s">
        <v>460</v>
      </c>
      <c r="N57" s="448"/>
      <c r="O57" s="8" t="s">
        <v>461</v>
      </c>
      <c r="P57" s="134" t="s">
        <v>460</v>
      </c>
      <c r="Q57" s="448"/>
      <c r="R57" s="12" t="s">
        <v>649</v>
      </c>
      <c r="S57" s="12" t="s">
        <v>650</v>
      </c>
      <c r="T57" s="12" t="s">
        <v>651</v>
      </c>
      <c r="U57" s="12" t="s">
        <v>652</v>
      </c>
      <c r="V57" s="12" t="s">
        <v>653</v>
      </c>
      <c r="W57" s="12" t="s">
        <v>654</v>
      </c>
      <c r="X57" s="12" t="s">
        <v>655</v>
      </c>
      <c r="Y57" s="12" t="s">
        <v>656</v>
      </c>
      <c r="Z57" s="8" t="s">
        <v>657</v>
      </c>
      <c r="AA57" s="12" t="s">
        <v>658</v>
      </c>
      <c r="AB57" s="8" t="s">
        <v>659</v>
      </c>
      <c r="AC57" s="12" t="s">
        <v>660</v>
      </c>
      <c r="AD57" s="12" t="s">
        <v>661</v>
      </c>
    </row>
  </sheetData>
  <sheetProtection/>
  <mergeCells count="42">
    <mergeCell ref="A1:AD1"/>
    <mergeCell ref="C2:D2"/>
    <mergeCell ref="E2:F2"/>
    <mergeCell ref="H2:K2"/>
    <mergeCell ref="L2:M2"/>
    <mergeCell ref="O2:P2"/>
    <mergeCell ref="R2:U2"/>
    <mergeCell ref="V2:Y2"/>
    <mergeCell ref="Z2:AD2"/>
    <mergeCell ref="N2:N3"/>
    <mergeCell ref="AE2:AI2"/>
    <mergeCell ref="A21:AD21"/>
    <mergeCell ref="C22:D22"/>
    <mergeCell ref="E22:F22"/>
    <mergeCell ref="H22:K22"/>
    <mergeCell ref="L22:M22"/>
    <mergeCell ref="O22:P22"/>
    <mergeCell ref="R22:U22"/>
    <mergeCell ref="V22:Y22"/>
    <mergeCell ref="Z22:AD22"/>
    <mergeCell ref="E56:F56"/>
    <mergeCell ref="H56:K56"/>
    <mergeCell ref="L56:M56"/>
    <mergeCell ref="O56:P56"/>
    <mergeCell ref="R56:U56"/>
    <mergeCell ref="G56:G57"/>
    <mergeCell ref="Z56:AD56"/>
    <mergeCell ref="A2:A3"/>
    <mergeCell ref="A22:A23"/>
    <mergeCell ref="A56:A57"/>
    <mergeCell ref="B2:B3"/>
    <mergeCell ref="B22:B23"/>
    <mergeCell ref="B56:B57"/>
    <mergeCell ref="G2:G3"/>
    <mergeCell ref="G22:G23"/>
    <mergeCell ref="C56:D56"/>
    <mergeCell ref="N22:N23"/>
    <mergeCell ref="N56:N57"/>
    <mergeCell ref="Q2:Q3"/>
    <mergeCell ref="Q22:Q23"/>
    <mergeCell ref="Q56:Q57"/>
    <mergeCell ref="V56:Y56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E39"/>
  <sheetViews>
    <sheetView zoomScale="85" zoomScaleNormal="85" workbookViewId="0" topLeftCell="X1">
      <pane ySplit="3" topLeftCell="A23" activePane="bottomLeft" state="frozen"/>
      <selection pane="topLeft" activeCell="A1" sqref="A1"/>
      <selection pane="bottomLeft" activeCell="N10" sqref="N10"/>
    </sheetView>
  </sheetViews>
  <sheetFormatPr defaultColWidth="8.125" defaultRowHeight="14.25"/>
  <cols>
    <col min="1" max="2" width="16.00390625" style="87" customWidth="1"/>
    <col min="3" max="6" width="13.25390625" style="87" customWidth="1"/>
    <col min="7" max="7" width="13.25390625" style="88" customWidth="1"/>
    <col min="8" max="8" width="8.125" style="87" customWidth="1"/>
    <col min="9" max="11" width="5.25390625" style="87" customWidth="1"/>
    <col min="12" max="12" width="12.375" style="87" customWidth="1"/>
    <col min="13" max="13" width="8.125" style="87" customWidth="1"/>
    <col min="14" max="15" width="8.375" style="87" bestFit="1" customWidth="1"/>
    <col min="16" max="16" width="11.375" style="87" bestFit="1" customWidth="1"/>
    <col min="17" max="17" width="12.75390625" style="87" bestFit="1" customWidth="1"/>
    <col min="18" max="18" width="14.25390625" style="87" customWidth="1"/>
    <col min="19" max="20" width="8.125" style="87" customWidth="1"/>
    <col min="21" max="21" width="9.625" style="87" bestFit="1" customWidth="1"/>
    <col min="22" max="23" width="8.125" style="87" customWidth="1"/>
    <col min="24" max="24" width="9.625" style="87" bestFit="1" customWidth="1"/>
    <col min="25" max="25" width="11.375" style="87" bestFit="1" customWidth="1"/>
    <col min="26" max="26" width="12.75390625" style="87" bestFit="1" customWidth="1"/>
    <col min="27" max="27" width="16.375" style="87" customWidth="1"/>
    <col min="28" max="30" width="8.125" style="87" customWidth="1"/>
    <col min="31" max="31" width="9.25390625" style="87" bestFit="1" customWidth="1"/>
    <col min="32" max="32" width="11.625" style="87" bestFit="1" customWidth="1"/>
    <col min="33" max="33" width="8.125" style="88" customWidth="1"/>
    <col min="34" max="34" width="10.25390625" style="89" customWidth="1"/>
    <col min="35" max="35" width="8.125" style="87" customWidth="1"/>
    <col min="36" max="48" width="7.375" style="87" customWidth="1"/>
    <col min="49" max="16384" width="8.125" style="87" customWidth="1"/>
  </cols>
  <sheetData>
    <row r="1" spans="1:83" s="85" customFormat="1" ht="25.5">
      <c r="A1" s="557" t="s">
        <v>712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112"/>
      <c r="AJ1" s="112"/>
      <c r="AK1" s="112"/>
      <c r="AL1" s="112"/>
      <c r="AM1" s="112"/>
      <c r="AN1" s="112"/>
      <c r="AO1" s="112"/>
      <c r="AP1" s="124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133"/>
    </row>
    <row r="2" spans="1:83" s="85" customFormat="1" ht="14.25">
      <c r="A2" s="544" t="s">
        <v>426</v>
      </c>
      <c r="B2" s="545" t="s">
        <v>632</v>
      </c>
      <c r="C2" s="549" t="s">
        <v>713</v>
      </c>
      <c r="D2" s="556"/>
      <c r="E2" s="556" t="s">
        <v>634</v>
      </c>
      <c r="F2" s="550"/>
      <c r="G2" s="545" t="s">
        <v>714</v>
      </c>
      <c r="H2" s="545" t="s">
        <v>715</v>
      </c>
      <c r="I2" s="545"/>
      <c r="J2" s="549" t="s">
        <v>716</v>
      </c>
      <c r="K2" s="550"/>
      <c r="L2" s="545" t="s">
        <v>717</v>
      </c>
      <c r="M2" s="549" t="s">
        <v>718</v>
      </c>
      <c r="N2" s="556"/>
      <c r="O2" s="556"/>
      <c r="P2" s="556" t="s">
        <v>719</v>
      </c>
      <c r="Q2" s="550"/>
      <c r="R2" s="548" t="s">
        <v>720</v>
      </c>
      <c r="S2" s="545" t="s">
        <v>721</v>
      </c>
      <c r="T2" s="545"/>
      <c r="U2" s="545"/>
      <c r="V2" s="545"/>
      <c r="W2" s="545"/>
      <c r="X2" s="545"/>
      <c r="Y2" s="549" t="s">
        <v>637</v>
      </c>
      <c r="Z2" s="550"/>
      <c r="AA2" s="545" t="s">
        <v>722</v>
      </c>
      <c r="AB2" s="542" t="s">
        <v>723</v>
      </c>
      <c r="AC2" s="551"/>
      <c r="AD2" s="551"/>
      <c r="AE2" s="551" t="s">
        <v>724</v>
      </c>
      <c r="AF2" s="551"/>
      <c r="AG2" s="113"/>
      <c r="AH2" s="114"/>
      <c r="AI2" s="535" t="s">
        <v>725</v>
      </c>
      <c r="AJ2" s="535"/>
      <c r="AK2" s="535" t="s">
        <v>176</v>
      </c>
      <c r="AL2" s="535"/>
      <c r="AM2" s="535" t="s">
        <v>177</v>
      </c>
      <c r="AN2" s="535"/>
      <c r="AO2" s="535" t="s">
        <v>89</v>
      </c>
      <c r="AP2" s="54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133"/>
    </row>
    <row r="3" spans="1:83" s="85" customFormat="1" ht="14.25">
      <c r="A3" s="544"/>
      <c r="B3" s="545"/>
      <c r="C3" s="90" t="s">
        <v>461</v>
      </c>
      <c r="D3" s="90" t="s">
        <v>460</v>
      </c>
      <c r="E3" s="91" t="s">
        <v>461</v>
      </c>
      <c r="F3" s="91" t="s">
        <v>460</v>
      </c>
      <c r="G3" s="545"/>
      <c r="H3" s="545"/>
      <c r="I3" s="545"/>
      <c r="J3" s="90" t="s">
        <v>460</v>
      </c>
      <c r="K3" s="90" t="s">
        <v>461</v>
      </c>
      <c r="L3" s="545"/>
      <c r="M3" s="90" t="s">
        <v>726</v>
      </c>
      <c r="N3" s="90" t="s">
        <v>727</v>
      </c>
      <c r="O3" s="90" t="s">
        <v>460</v>
      </c>
      <c r="P3" s="91" t="s">
        <v>461</v>
      </c>
      <c r="Q3" s="91" t="s">
        <v>460</v>
      </c>
      <c r="R3" s="545"/>
      <c r="S3" s="90" t="s">
        <v>728</v>
      </c>
      <c r="T3" s="90" t="s">
        <v>729</v>
      </c>
      <c r="U3" s="90" t="s">
        <v>730</v>
      </c>
      <c r="V3" s="90" t="s">
        <v>731</v>
      </c>
      <c r="W3" s="90" t="s">
        <v>647</v>
      </c>
      <c r="X3" s="90" t="s">
        <v>648</v>
      </c>
      <c r="Y3" s="91" t="s">
        <v>461</v>
      </c>
      <c r="Z3" s="91" t="s">
        <v>460</v>
      </c>
      <c r="AA3" s="545"/>
      <c r="AB3" s="91" t="s">
        <v>726</v>
      </c>
      <c r="AC3" s="91" t="s">
        <v>727</v>
      </c>
      <c r="AD3" s="91" t="s">
        <v>460</v>
      </c>
      <c r="AE3" s="91" t="s">
        <v>461</v>
      </c>
      <c r="AF3" s="91" t="s">
        <v>460</v>
      </c>
      <c r="AG3" s="91" t="s">
        <v>732</v>
      </c>
      <c r="AH3" s="91" t="s">
        <v>733</v>
      </c>
      <c r="AI3" s="91" t="s">
        <v>461</v>
      </c>
      <c r="AJ3" s="91" t="s">
        <v>460</v>
      </c>
      <c r="AK3" s="91" t="s">
        <v>461</v>
      </c>
      <c r="AL3" s="91" t="s">
        <v>460</v>
      </c>
      <c r="AM3" s="91" t="s">
        <v>461</v>
      </c>
      <c r="AN3" s="91" t="s">
        <v>460</v>
      </c>
      <c r="AO3" s="91" t="s">
        <v>461</v>
      </c>
      <c r="AP3" s="125" t="s">
        <v>460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133"/>
    </row>
    <row r="4" spans="1:83" s="85" customFormat="1" ht="22.5" customHeight="1">
      <c r="A4" s="92" t="s">
        <v>734</v>
      </c>
      <c r="B4" s="91">
        <v>0</v>
      </c>
      <c r="C4" s="93">
        <v>36.5249</v>
      </c>
      <c r="D4" s="93">
        <v>36.5508</v>
      </c>
      <c r="F4" s="91"/>
      <c r="G4" s="91">
        <v>0</v>
      </c>
      <c r="H4" s="535">
        <v>0.15</v>
      </c>
      <c r="I4" s="535"/>
      <c r="J4" s="91"/>
      <c r="K4" s="91"/>
      <c r="L4" s="91">
        <v>0</v>
      </c>
      <c r="M4" s="90">
        <v>4.23</v>
      </c>
      <c r="N4" s="93">
        <v>3.43</v>
      </c>
      <c r="O4" s="93">
        <v>6.4</v>
      </c>
      <c r="P4" s="90"/>
      <c r="Q4" s="90"/>
      <c r="R4" s="90">
        <v>0</v>
      </c>
      <c r="S4" s="90">
        <v>9.915</v>
      </c>
      <c r="T4" s="90">
        <v>1.095</v>
      </c>
      <c r="U4" s="93">
        <v>4.15</v>
      </c>
      <c r="V4" s="90">
        <v>2</v>
      </c>
      <c r="W4" s="90">
        <v>2</v>
      </c>
      <c r="X4" s="93">
        <v>13.78</v>
      </c>
      <c r="Y4" s="90"/>
      <c r="Z4" s="90"/>
      <c r="AA4" s="90">
        <v>0</v>
      </c>
      <c r="AB4" s="91">
        <v>1.1234</v>
      </c>
      <c r="AC4" s="111">
        <v>0.5373</v>
      </c>
      <c r="AD4" s="111">
        <v>1.4164</v>
      </c>
      <c r="AE4" s="91"/>
      <c r="AF4" s="91"/>
      <c r="AG4" s="91">
        <f>AD4+AC4+AB4</f>
        <v>3.0770999999999997</v>
      </c>
      <c r="AH4" s="91">
        <v>0</v>
      </c>
      <c r="AP4" s="12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133"/>
    </row>
    <row r="5" spans="1:83" s="85" customFormat="1" ht="22.5" customHeight="1">
      <c r="A5" s="92" t="s">
        <v>735</v>
      </c>
      <c r="B5" s="91">
        <v>100</v>
      </c>
      <c r="C5" s="93">
        <v>75.8009</v>
      </c>
      <c r="D5" s="93">
        <v>29.8046</v>
      </c>
      <c r="E5" s="91">
        <f>(C5+C4)/2*B5</f>
        <v>5616.29</v>
      </c>
      <c r="F5" s="91">
        <f>(D5+D4)/2*B5</f>
        <v>3317.77</v>
      </c>
      <c r="G5" s="91">
        <f>(D5+C5+D4+C4)/2*100</f>
        <v>8934.060000000001</v>
      </c>
      <c r="H5" s="535">
        <v>0.15</v>
      </c>
      <c r="I5" s="535"/>
      <c r="J5" s="91">
        <f>0.1*0.5*1*B5</f>
        <v>5</v>
      </c>
      <c r="K5" s="91">
        <f>SUM(0.1*0.5*2*B5)</f>
        <v>10</v>
      </c>
      <c r="L5" s="91">
        <v>15</v>
      </c>
      <c r="M5" s="90">
        <v>4.23</v>
      </c>
      <c r="N5" s="93">
        <v>4.0221</v>
      </c>
      <c r="O5" s="93">
        <v>7.5501</v>
      </c>
      <c r="P5" s="90">
        <f aca="true" t="shared" si="0" ref="P5:P25">(M5+M4+N5+N4)/2*B5</f>
        <v>795.605</v>
      </c>
      <c r="Q5" s="90">
        <f aca="true" t="shared" si="1" ref="Q5:Q25">(O5+O4)/2*B5</f>
        <v>697.505</v>
      </c>
      <c r="R5" s="90">
        <f>(O5+O4+N4+N5+M5+M4)/2*100</f>
        <v>1493.1100000000001</v>
      </c>
      <c r="S5" s="90">
        <v>6.652</v>
      </c>
      <c r="T5" s="90">
        <v>1.095</v>
      </c>
      <c r="U5" s="93">
        <v>6.3851</v>
      </c>
      <c r="V5" s="90">
        <v>2</v>
      </c>
      <c r="W5" s="90">
        <v>2</v>
      </c>
      <c r="X5" s="93">
        <v>17.3861</v>
      </c>
      <c r="Y5" s="90">
        <f>SUM(S5+S4+T5+T4+U5+U4+V5+V4)/2*B5</f>
        <v>1664.6049999999998</v>
      </c>
      <c r="Z5" s="90">
        <f>(W4+W5+X4+X5)/2*B5</f>
        <v>1758.305</v>
      </c>
      <c r="AA5" s="90">
        <f>(X4+X5+W5+W4+V4+V5+U5+U4+T4+T5+S5+S4)/2*100</f>
        <v>3422.9100000000003</v>
      </c>
      <c r="AB5" s="91">
        <v>1.1234</v>
      </c>
      <c r="AC5" s="111">
        <v>0.8401</v>
      </c>
      <c r="AD5" s="111">
        <v>1.7192</v>
      </c>
      <c r="AE5" s="91">
        <f>(AB5+AB4+AC5+AC4)/2*B5/2.5</f>
        <v>72.48400000000001</v>
      </c>
      <c r="AF5" s="91">
        <f>(AD5+AD4)/2*B5/2.5</f>
        <v>62.712</v>
      </c>
      <c r="AG5" s="91">
        <f aca="true" t="shared" si="2" ref="AG5:AG25">AD5+AC5+AB5</f>
        <v>3.6826999999999996</v>
      </c>
      <c r="AH5" s="91">
        <f>AF5+AE5</f>
        <v>135.19600000000003</v>
      </c>
      <c r="AI5" s="115">
        <f>PI()*0.15^2*B5*2</f>
        <v>14.137166941154069</v>
      </c>
      <c r="AJ5" s="115">
        <f>PI()*0.15^2*B5</f>
        <v>7.0685834705770345</v>
      </c>
      <c r="AK5" s="115">
        <f>P5/10</f>
        <v>79.5605</v>
      </c>
      <c r="AL5" s="115">
        <f>Q5/10</f>
        <v>69.7505</v>
      </c>
      <c r="AM5" s="91">
        <f>(0.5*0.1*2+0.1*10*2)*B5/10*2</f>
        <v>42</v>
      </c>
      <c r="AN5" s="91">
        <f>(0.5*0.1*2+0.1*10*2)*B5/10</f>
        <v>21</v>
      </c>
      <c r="AO5" s="115">
        <f>(2*PI()*0.15+0.2)*B5*2</f>
        <v>228.49555921538757</v>
      </c>
      <c r="AP5" s="127">
        <f>(2*PI()*0.15+0.2)*B5</f>
        <v>114.24777960769379</v>
      </c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133"/>
    </row>
    <row r="6" spans="1:83" s="85" customFormat="1" ht="22.5" customHeight="1">
      <c r="A6" s="92" t="s">
        <v>736</v>
      </c>
      <c r="B6" s="91">
        <v>100</v>
      </c>
      <c r="C6" s="93">
        <v>95.0977</v>
      </c>
      <c r="D6" s="93">
        <v>32.6645</v>
      </c>
      <c r="E6" s="91">
        <f>(C6+C5)/2*B6</f>
        <v>8544.93</v>
      </c>
      <c r="F6" s="91">
        <f aca="true" t="shared" si="3" ref="F6:F25">(D6+D5)/2*B6</f>
        <v>3123.455</v>
      </c>
      <c r="G6" s="91">
        <f aca="true" t="shared" si="4" ref="G6:G24">(D6+C6+D5+C5)/2*100</f>
        <v>11668.385</v>
      </c>
      <c r="H6" s="535">
        <v>0.15</v>
      </c>
      <c r="I6" s="535"/>
      <c r="J6" s="91">
        <f>0.1*0.5*1*B6</f>
        <v>5</v>
      </c>
      <c r="K6" s="91">
        <f aca="true" t="shared" si="5" ref="K6:K25">SUM(0.1*0.5*2*B6)</f>
        <v>10</v>
      </c>
      <c r="L6" s="91">
        <v>15</v>
      </c>
      <c r="M6" s="90">
        <v>4.23</v>
      </c>
      <c r="N6" s="93">
        <v>3.6181</v>
      </c>
      <c r="O6" s="93">
        <v>6.7861</v>
      </c>
      <c r="P6" s="90">
        <f t="shared" si="0"/>
        <v>805.01</v>
      </c>
      <c r="Q6" s="90">
        <f t="shared" si="1"/>
        <v>716.81</v>
      </c>
      <c r="R6" s="90">
        <f aca="true" t="shared" si="6" ref="R6:R24">(O6+O5+N5+N6+M6+M5)/2*100</f>
        <v>1521.82</v>
      </c>
      <c r="S6" s="90">
        <v>9.915</v>
      </c>
      <c r="T6" s="90">
        <v>1.095</v>
      </c>
      <c r="U6" s="93">
        <v>4.9211</v>
      </c>
      <c r="V6" s="90">
        <v>2</v>
      </c>
      <c r="W6" s="90">
        <v>2</v>
      </c>
      <c r="X6" s="93">
        <v>14.9471</v>
      </c>
      <c r="Y6" s="90">
        <f aca="true" t="shared" si="7" ref="Y6:Y25">SUM(S6+S5+T6+T5+U6+U5+V6+V5)/2*B6</f>
        <v>1703.1599999999999</v>
      </c>
      <c r="Z6" s="90">
        <f aca="true" t="shared" si="8" ref="Z6:Z25">(W5+W6+X5+X6)/2*B6</f>
        <v>1816.6599999999999</v>
      </c>
      <c r="AA6" s="90">
        <f aca="true" t="shared" si="9" ref="AA6:AA24">(X5+X6+W6+W5+V5+V6+U6+U5+T5+T6+S6+S5)/2*100</f>
        <v>3519.82</v>
      </c>
      <c r="AB6" s="91">
        <v>1.1234</v>
      </c>
      <c r="AC6" s="111">
        <v>0.6447</v>
      </c>
      <c r="AD6" s="111">
        <v>1.5239</v>
      </c>
      <c r="AE6" s="91">
        <f aca="true" t="shared" si="10" ref="AE6:AE25">(AB6+AB5+AC6+AC5)/2*B6/2.5</f>
        <v>74.63199999999999</v>
      </c>
      <c r="AF6" s="91">
        <f aca="true" t="shared" si="11" ref="AF6:AF25">(AD6+AD5)/2*B6/2.5</f>
        <v>64.862</v>
      </c>
      <c r="AG6" s="91">
        <f t="shared" si="2"/>
        <v>3.292</v>
      </c>
      <c r="AH6" s="91">
        <f aca="true" t="shared" si="12" ref="AH6:AH25">AF6+AE6</f>
        <v>139.49399999999997</v>
      </c>
      <c r="AI6" s="115">
        <f aca="true" t="shared" si="13" ref="AI6:AI25">PI()*0.15^2*B6*2</f>
        <v>14.137166941154069</v>
      </c>
      <c r="AJ6" s="115">
        <f aca="true" t="shared" si="14" ref="AJ6:AJ25">PI()*0.15^2*B6</f>
        <v>7.0685834705770345</v>
      </c>
      <c r="AK6" s="115">
        <f aca="true" t="shared" si="15" ref="AK6:AL25">P6/10</f>
        <v>80.501</v>
      </c>
      <c r="AL6" s="115">
        <f t="shared" si="15"/>
        <v>71.681</v>
      </c>
      <c r="AM6" s="91">
        <f aca="true" t="shared" si="16" ref="AM6:AM25">(0.5*0.1*2+0.1*10*2)*B6/10*2</f>
        <v>42</v>
      </c>
      <c r="AN6" s="91">
        <f aca="true" t="shared" si="17" ref="AN6:AN25">(0.5*0.1*2+0.1*10*2)*B6/10</f>
        <v>21</v>
      </c>
      <c r="AO6" s="115">
        <f aca="true" t="shared" si="18" ref="AO6:AO25">(2*PI()*0.15+0.2)*B6*2</f>
        <v>228.49555921538757</v>
      </c>
      <c r="AP6" s="127">
        <f aca="true" t="shared" si="19" ref="AP6:AP25">(2*PI()*0.15+0.2)*B6</f>
        <v>114.24777960769379</v>
      </c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133"/>
    </row>
    <row r="7" spans="1:83" s="85" customFormat="1" ht="22.5" customHeight="1">
      <c r="A7" s="92" t="s">
        <v>737</v>
      </c>
      <c r="B7" s="91">
        <v>100</v>
      </c>
      <c r="C7" s="93">
        <v>73.8001</v>
      </c>
      <c r="D7" s="93">
        <v>29.2131</v>
      </c>
      <c r="E7" s="91">
        <f>(C7+C6)/2*B7</f>
        <v>8444.890000000001</v>
      </c>
      <c r="F7" s="91">
        <f t="shared" si="3"/>
        <v>3093.88</v>
      </c>
      <c r="G7" s="91">
        <f t="shared" si="4"/>
        <v>11538.77</v>
      </c>
      <c r="H7" s="535">
        <v>0.15</v>
      </c>
      <c r="I7" s="535"/>
      <c r="J7" s="91">
        <f>0.1*0.5*1*B7</f>
        <v>5</v>
      </c>
      <c r="K7" s="91">
        <f t="shared" si="5"/>
        <v>10</v>
      </c>
      <c r="L7" s="91">
        <v>15</v>
      </c>
      <c r="M7" s="90">
        <v>4.23</v>
      </c>
      <c r="N7" s="93">
        <v>3.5733</v>
      </c>
      <c r="O7" s="93">
        <v>6.6962</v>
      </c>
      <c r="P7" s="90">
        <f t="shared" si="0"/>
        <v>782.57</v>
      </c>
      <c r="Q7" s="90">
        <f t="shared" si="1"/>
        <v>674.115</v>
      </c>
      <c r="R7" s="90">
        <f t="shared" si="6"/>
        <v>1456.685</v>
      </c>
      <c r="S7" s="90">
        <v>9.915</v>
      </c>
      <c r="T7" s="90">
        <v>1.095</v>
      </c>
      <c r="U7" s="93">
        <v>4.7437</v>
      </c>
      <c r="V7" s="90">
        <v>2</v>
      </c>
      <c r="W7" s="90">
        <v>2</v>
      </c>
      <c r="X7" s="93">
        <v>14.6797</v>
      </c>
      <c r="Y7" s="90">
        <f t="shared" si="7"/>
        <v>1784.2399999999998</v>
      </c>
      <c r="Z7" s="90">
        <f t="shared" si="8"/>
        <v>1681.3400000000001</v>
      </c>
      <c r="AA7" s="90">
        <f t="shared" si="9"/>
        <v>3465.58</v>
      </c>
      <c r="AB7" s="91">
        <v>1.1234</v>
      </c>
      <c r="AC7" s="111">
        <v>0.6203</v>
      </c>
      <c r="AD7" s="111">
        <v>1.4994</v>
      </c>
      <c r="AE7" s="91">
        <f t="shared" si="10"/>
        <v>70.236</v>
      </c>
      <c r="AF7" s="91">
        <f t="shared" si="11"/>
        <v>60.465999999999994</v>
      </c>
      <c r="AG7" s="91">
        <f t="shared" si="2"/>
        <v>3.2431</v>
      </c>
      <c r="AH7" s="91">
        <f t="shared" si="12"/>
        <v>130.702</v>
      </c>
      <c r="AI7" s="115">
        <f t="shared" si="13"/>
        <v>14.137166941154069</v>
      </c>
      <c r="AJ7" s="115">
        <f t="shared" si="14"/>
        <v>7.0685834705770345</v>
      </c>
      <c r="AK7" s="115">
        <f t="shared" si="15"/>
        <v>78.257</v>
      </c>
      <c r="AL7" s="115">
        <f t="shared" si="15"/>
        <v>67.4115</v>
      </c>
      <c r="AM7" s="91">
        <f t="shared" si="16"/>
        <v>42</v>
      </c>
      <c r="AN7" s="91">
        <f t="shared" si="17"/>
        <v>21</v>
      </c>
      <c r="AO7" s="115">
        <f t="shared" si="18"/>
        <v>228.49555921538757</v>
      </c>
      <c r="AP7" s="127">
        <f t="shared" si="19"/>
        <v>114.24777960769379</v>
      </c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133"/>
    </row>
    <row r="8" spans="1:83" s="85" customFormat="1" ht="22.5" customHeight="1">
      <c r="A8" s="92" t="s">
        <v>738</v>
      </c>
      <c r="B8" s="91">
        <v>100</v>
      </c>
      <c r="C8" s="93">
        <v>66.5142</v>
      </c>
      <c r="D8" s="93">
        <v>41.2612</v>
      </c>
      <c r="E8" s="91">
        <f>(C8+C7)/2*B8</f>
        <v>7015.715</v>
      </c>
      <c r="F8" s="91">
        <f t="shared" si="3"/>
        <v>3523.715</v>
      </c>
      <c r="G8" s="91">
        <f t="shared" si="4"/>
        <v>10539.430000000002</v>
      </c>
      <c r="H8" s="535">
        <v>0.15</v>
      </c>
      <c r="I8" s="535"/>
      <c r="J8" s="91">
        <f>0.1*0.5*1*B8</f>
        <v>5</v>
      </c>
      <c r="K8" s="91">
        <f t="shared" si="5"/>
        <v>10</v>
      </c>
      <c r="L8" s="91">
        <v>15</v>
      </c>
      <c r="M8" s="90">
        <v>4.23</v>
      </c>
      <c r="N8" s="93">
        <v>3.7309</v>
      </c>
      <c r="O8" s="93">
        <v>7.0069</v>
      </c>
      <c r="P8" s="90">
        <f t="shared" si="0"/>
        <v>788.21</v>
      </c>
      <c r="Q8" s="90">
        <f t="shared" si="1"/>
        <v>685.155</v>
      </c>
      <c r="R8" s="90">
        <f t="shared" si="6"/>
        <v>1473.365</v>
      </c>
      <c r="S8" s="90">
        <v>9.915</v>
      </c>
      <c r="T8" s="90">
        <v>1.095</v>
      </c>
      <c r="U8" s="93">
        <v>5.3519</v>
      </c>
      <c r="V8" s="90">
        <v>2</v>
      </c>
      <c r="W8" s="90">
        <v>2</v>
      </c>
      <c r="X8" s="93">
        <v>15.5939</v>
      </c>
      <c r="Y8" s="90">
        <f t="shared" si="7"/>
        <v>1805.7799999999997</v>
      </c>
      <c r="Z8" s="90">
        <f t="shared" si="8"/>
        <v>1713.68</v>
      </c>
      <c r="AA8" s="90">
        <f t="shared" si="9"/>
        <v>3519.4599999999996</v>
      </c>
      <c r="AB8" s="91">
        <v>1.1234</v>
      </c>
      <c r="AC8" s="111">
        <v>0.7033</v>
      </c>
      <c r="AD8" s="111">
        <v>1.5825</v>
      </c>
      <c r="AE8" s="91">
        <f t="shared" si="10"/>
        <v>71.40799999999999</v>
      </c>
      <c r="AF8" s="91">
        <f t="shared" si="11"/>
        <v>61.638</v>
      </c>
      <c r="AG8" s="91">
        <f t="shared" si="2"/>
        <v>3.4092000000000002</v>
      </c>
      <c r="AH8" s="91">
        <f t="shared" si="12"/>
        <v>133.046</v>
      </c>
      <c r="AI8" s="115">
        <f t="shared" si="13"/>
        <v>14.137166941154069</v>
      </c>
      <c r="AJ8" s="115">
        <f t="shared" si="14"/>
        <v>7.0685834705770345</v>
      </c>
      <c r="AK8" s="115">
        <f t="shared" si="15"/>
        <v>78.821</v>
      </c>
      <c r="AL8" s="115">
        <f t="shared" si="15"/>
        <v>68.5155</v>
      </c>
      <c r="AM8" s="91">
        <f t="shared" si="16"/>
        <v>42</v>
      </c>
      <c r="AN8" s="91">
        <f t="shared" si="17"/>
        <v>21</v>
      </c>
      <c r="AO8" s="115">
        <f t="shared" si="18"/>
        <v>228.49555921538757</v>
      </c>
      <c r="AP8" s="127">
        <f t="shared" si="19"/>
        <v>114.24777960769379</v>
      </c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133"/>
    </row>
    <row r="9" spans="1:83" s="85" customFormat="1" ht="22.5" customHeight="1">
      <c r="A9" s="92" t="s">
        <v>739</v>
      </c>
      <c r="B9" s="91">
        <v>100</v>
      </c>
      <c r="C9" s="93">
        <v>79.2187</v>
      </c>
      <c r="D9" s="93">
        <v>41.48</v>
      </c>
      <c r="E9" s="91">
        <f>(C9+C8)/2*B9</f>
        <v>7286.645</v>
      </c>
      <c r="F9" s="91">
        <f t="shared" si="3"/>
        <v>4137.0599999999995</v>
      </c>
      <c r="G9" s="91">
        <f t="shared" si="4"/>
        <v>11423.705000000002</v>
      </c>
      <c r="H9" s="535">
        <v>0.15</v>
      </c>
      <c r="I9" s="535"/>
      <c r="J9" s="91">
        <f aca="true" t="shared" si="20" ref="J9:J25">0.1*0.5*1*B9</f>
        <v>5</v>
      </c>
      <c r="K9" s="91">
        <f t="shared" si="5"/>
        <v>10</v>
      </c>
      <c r="L9" s="91">
        <v>15</v>
      </c>
      <c r="M9" s="90">
        <v>4.23</v>
      </c>
      <c r="N9" s="93">
        <v>3.9596</v>
      </c>
      <c r="O9" s="93">
        <v>7.4363</v>
      </c>
      <c r="P9" s="90">
        <f t="shared" si="0"/>
        <v>807.5250000000001</v>
      </c>
      <c r="Q9" s="90">
        <f t="shared" si="1"/>
        <v>722.1600000000001</v>
      </c>
      <c r="R9" s="90">
        <f t="shared" si="6"/>
        <v>1529.6850000000002</v>
      </c>
      <c r="S9" s="90">
        <v>9.915008</v>
      </c>
      <c r="T9" s="90">
        <v>1.095</v>
      </c>
      <c r="U9" s="93">
        <v>6.1716</v>
      </c>
      <c r="V9" s="90">
        <v>2</v>
      </c>
      <c r="W9" s="90">
        <v>2</v>
      </c>
      <c r="X9" s="93">
        <v>16.815</v>
      </c>
      <c r="Y9" s="90">
        <f t="shared" si="7"/>
        <v>1877.1753999999999</v>
      </c>
      <c r="Z9" s="90">
        <f t="shared" si="8"/>
        <v>1820.4450000000002</v>
      </c>
      <c r="AA9" s="90">
        <f t="shared" si="9"/>
        <v>3697.6204</v>
      </c>
      <c r="AB9" s="91">
        <v>1.1234</v>
      </c>
      <c r="AC9" s="111">
        <v>0.8122</v>
      </c>
      <c r="AD9" s="111">
        <v>1.6914</v>
      </c>
      <c r="AE9" s="91">
        <f t="shared" si="10"/>
        <v>75.24600000000001</v>
      </c>
      <c r="AF9" s="91">
        <f t="shared" si="11"/>
        <v>65.47800000000001</v>
      </c>
      <c r="AG9" s="91">
        <f t="shared" si="2"/>
        <v>3.627</v>
      </c>
      <c r="AH9" s="91">
        <f t="shared" si="12"/>
        <v>140.72400000000002</v>
      </c>
      <c r="AI9" s="115">
        <f t="shared" si="13"/>
        <v>14.137166941154069</v>
      </c>
      <c r="AJ9" s="115">
        <f t="shared" si="14"/>
        <v>7.0685834705770345</v>
      </c>
      <c r="AK9" s="115">
        <f t="shared" si="15"/>
        <v>80.75250000000001</v>
      </c>
      <c r="AL9" s="115">
        <f t="shared" si="15"/>
        <v>72.21600000000001</v>
      </c>
      <c r="AM9" s="91">
        <f t="shared" si="16"/>
        <v>42</v>
      </c>
      <c r="AN9" s="91">
        <f t="shared" si="17"/>
        <v>21</v>
      </c>
      <c r="AO9" s="115">
        <f t="shared" si="18"/>
        <v>228.49555921538757</v>
      </c>
      <c r="AP9" s="127">
        <f t="shared" si="19"/>
        <v>114.24777960769379</v>
      </c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133"/>
    </row>
    <row r="10" spans="1:83" s="85" customFormat="1" ht="22.5" customHeight="1">
      <c r="A10" s="92" t="s">
        <v>740</v>
      </c>
      <c r="B10" s="91">
        <v>100</v>
      </c>
      <c r="C10" s="93">
        <v>75.6709</v>
      </c>
      <c r="D10" s="93">
        <v>40.7434</v>
      </c>
      <c r="E10" s="91">
        <f aca="true" t="shared" si="21" ref="E10:E25">(C10+C9)/2*B10</f>
        <v>7744.4800000000005</v>
      </c>
      <c r="F10" s="91">
        <f t="shared" si="3"/>
        <v>4111.17</v>
      </c>
      <c r="G10" s="91">
        <f t="shared" si="4"/>
        <v>11855.65</v>
      </c>
      <c r="H10" s="535">
        <v>0.15</v>
      </c>
      <c r="I10" s="535"/>
      <c r="J10" s="91">
        <f t="shared" si="20"/>
        <v>5</v>
      </c>
      <c r="K10" s="91">
        <f t="shared" si="5"/>
        <v>10</v>
      </c>
      <c r="L10" s="91">
        <v>15</v>
      </c>
      <c r="M10" s="90">
        <v>4.23</v>
      </c>
      <c r="N10" s="93">
        <v>3.5125</v>
      </c>
      <c r="O10" s="93">
        <v>6.5725</v>
      </c>
      <c r="P10" s="90">
        <f t="shared" si="0"/>
        <v>796.605</v>
      </c>
      <c r="Q10" s="90">
        <f t="shared" si="1"/>
        <v>700.44</v>
      </c>
      <c r="R10" s="90">
        <f t="shared" si="6"/>
        <v>1497.045</v>
      </c>
      <c r="S10" s="90">
        <v>9.915</v>
      </c>
      <c r="T10" s="90">
        <v>1.095</v>
      </c>
      <c r="U10" s="93">
        <v>4.4975</v>
      </c>
      <c r="V10" s="90">
        <v>2</v>
      </c>
      <c r="W10" s="90">
        <v>2</v>
      </c>
      <c r="X10" s="93">
        <v>14.3075</v>
      </c>
      <c r="Y10" s="90">
        <f t="shared" si="7"/>
        <v>1834.4553999999998</v>
      </c>
      <c r="Z10" s="90">
        <f t="shared" si="8"/>
        <v>1756.125</v>
      </c>
      <c r="AA10" s="90">
        <f t="shared" si="9"/>
        <v>3590.5804000000003</v>
      </c>
      <c r="AB10" s="91">
        <v>1.1234</v>
      </c>
      <c r="AC10" s="111">
        <v>0.5861</v>
      </c>
      <c r="AD10" s="111">
        <v>1.4652</v>
      </c>
      <c r="AE10" s="91">
        <f t="shared" si="10"/>
        <v>72.90200000000002</v>
      </c>
      <c r="AF10" s="91">
        <f t="shared" si="11"/>
        <v>63.132000000000005</v>
      </c>
      <c r="AG10" s="91">
        <f t="shared" si="2"/>
        <v>3.1746999999999996</v>
      </c>
      <c r="AH10" s="91">
        <f t="shared" si="12"/>
        <v>136.03400000000002</v>
      </c>
      <c r="AI10" s="115">
        <f t="shared" si="13"/>
        <v>14.137166941154069</v>
      </c>
      <c r="AJ10" s="115">
        <f t="shared" si="14"/>
        <v>7.0685834705770345</v>
      </c>
      <c r="AK10" s="115">
        <f t="shared" si="15"/>
        <v>79.6605</v>
      </c>
      <c r="AL10" s="115">
        <f t="shared" si="15"/>
        <v>70.04400000000001</v>
      </c>
      <c r="AM10" s="91">
        <f t="shared" si="16"/>
        <v>42</v>
      </c>
      <c r="AN10" s="91">
        <f t="shared" si="17"/>
        <v>21</v>
      </c>
      <c r="AO10" s="115">
        <f t="shared" si="18"/>
        <v>228.49555921538757</v>
      </c>
      <c r="AP10" s="127">
        <f t="shared" si="19"/>
        <v>114.24777960769379</v>
      </c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133"/>
    </row>
    <row r="11" spans="1:83" s="85" customFormat="1" ht="22.5" customHeight="1">
      <c r="A11" s="92" t="s">
        <v>741</v>
      </c>
      <c r="B11" s="91">
        <v>100</v>
      </c>
      <c r="C11" s="93">
        <v>89.0185</v>
      </c>
      <c r="D11" s="93">
        <v>38.342</v>
      </c>
      <c r="E11" s="91">
        <f t="shared" si="21"/>
        <v>8234.470000000001</v>
      </c>
      <c r="F11" s="91">
        <f t="shared" si="3"/>
        <v>3954.2699999999995</v>
      </c>
      <c r="G11" s="91">
        <f t="shared" si="4"/>
        <v>12188.740000000002</v>
      </c>
      <c r="H11" s="535">
        <v>0.15</v>
      </c>
      <c r="I11" s="535"/>
      <c r="J11" s="91">
        <f t="shared" si="20"/>
        <v>5</v>
      </c>
      <c r="K11" s="91">
        <f t="shared" si="5"/>
        <v>10</v>
      </c>
      <c r="L11" s="91">
        <v>15</v>
      </c>
      <c r="M11" s="90">
        <v>4.23</v>
      </c>
      <c r="N11" s="93">
        <v>3.8304</v>
      </c>
      <c r="O11" s="93">
        <v>7.1964</v>
      </c>
      <c r="P11" s="90">
        <f t="shared" si="0"/>
        <v>790.1450000000001</v>
      </c>
      <c r="Q11" s="90">
        <f t="shared" si="1"/>
        <v>688.4449999999999</v>
      </c>
      <c r="R11" s="90">
        <f t="shared" si="6"/>
        <v>1478.59</v>
      </c>
      <c r="S11" s="90">
        <v>9.915</v>
      </c>
      <c r="T11" s="90">
        <v>1.095</v>
      </c>
      <c r="U11" s="93">
        <v>5.7164</v>
      </c>
      <c r="V11" s="90">
        <v>2</v>
      </c>
      <c r="W11" s="90">
        <v>2</v>
      </c>
      <c r="X11" s="93">
        <v>16.1384</v>
      </c>
      <c r="Y11" s="90">
        <f t="shared" si="7"/>
        <v>1811.695</v>
      </c>
      <c r="Z11" s="90">
        <f t="shared" si="8"/>
        <v>1722.2949999999996</v>
      </c>
      <c r="AA11" s="90">
        <f t="shared" si="9"/>
        <v>3533.99</v>
      </c>
      <c r="AB11" s="91">
        <v>1.1234</v>
      </c>
      <c r="AC11" s="111">
        <v>0.7522</v>
      </c>
      <c r="AD11" s="111">
        <v>1.7094</v>
      </c>
      <c r="AE11" s="91">
        <f t="shared" si="10"/>
        <v>71.702</v>
      </c>
      <c r="AF11" s="91">
        <f t="shared" si="11"/>
        <v>63.492</v>
      </c>
      <c r="AG11" s="91">
        <f t="shared" si="2"/>
        <v>3.585</v>
      </c>
      <c r="AH11" s="91">
        <f t="shared" si="12"/>
        <v>135.194</v>
      </c>
      <c r="AI11" s="115">
        <f t="shared" si="13"/>
        <v>14.137166941154069</v>
      </c>
      <c r="AJ11" s="115">
        <f t="shared" si="14"/>
        <v>7.0685834705770345</v>
      </c>
      <c r="AK11" s="115">
        <f t="shared" si="15"/>
        <v>79.01450000000001</v>
      </c>
      <c r="AL11" s="115">
        <f t="shared" si="15"/>
        <v>68.8445</v>
      </c>
      <c r="AM11" s="91">
        <f t="shared" si="16"/>
        <v>42</v>
      </c>
      <c r="AN11" s="91">
        <f t="shared" si="17"/>
        <v>21</v>
      </c>
      <c r="AO11" s="115">
        <f t="shared" si="18"/>
        <v>228.49555921538757</v>
      </c>
      <c r="AP11" s="127">
        <f t="shared" si="19"/>
        <v>114.24777960769379</v>
      </c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133"/>
    </row>
    <row r="12" spans="1:83" s="85" customFormat="1" ht="22.5" customHeight="1">
      <c r="A12" s="92" t="s">
        <v>742</v>
      </c>
      <c r="B12" s="91">
        <v>100</v>
      </c>
      <c r="C12" s="93">
        <v>96.6189</v>
      </c>
      <c r="D12" s="93">
        <v>42.8443</v>
      </c>
      <c r="E12" s="91">
        <f t="shared" si="21"/>
        <v>9281.87</v>
      </c>
      <c r="F12" s="91">
        <f t="shared" si="3"/>
        <v>4059.3149999999996</v>
      </c>
      <c r="G12" s="91">
        <f t="shared" si="4"/>
        <v>13341.185000000001</v>
      </c>
      <c r="H12" s="535">
        <v>0.15</v>
      </c>
      <c r="I12" s="535"/>
      <c r="J12" s="91">
        <f t="shared" si="20"/>
        <v>5</v>
      </c>
      <c r="K12" s="91">
        <f t="shared" si="5"/>
        <v>10</v>
      </c>
      <c r="L12" s="91">
        <v>15</v>
      </c>
      <c r="M12" s="90">
        <v>4.23</v>
      </c>
      <c r="N12" s="93">
        <v>3.7504</v>
      </c>
      <c r="O12" s="93">
        <v>7.0444</v>
      </c>
      <c r="P12" s="90">
        <f t="shared" si="0"/>
        <v>802.0400000000001</v>
      </c>
      <c r="Q12" s="90">
        <f t="shared" si="1"/>
        <v>712.04</v>
      </c>
      <c r="R12" s="90">
        <f t="shared" si="6"/>
        <v>1514.0800000000002</v>
      </c>
      <c r="S12" s="90">
        <v>9.915</v>
      </c>
      <c r="T12" s="90">
        <v>1.095</v>
      </c>
      <c r="U12" s="93">
        <v>5.4244</v>
      </c>
      <c r="V12" s="90">
        <v>2</v>
      </c>
      <c r="W12" s="90">
        <v>2</v>
      </c>
      <c r="X12" s="93">
        <v>15.7024</v>
      </c>
      <c r="Y12" s="90">
        <f t="shared" si="7"/>
        <v>1858.0399999999997</v>
      </c>
      <c r="Z12" s="90">
        <f t="shared" si="8"/>
        <v>1792.04</v>
      </c>
      <c r="AA12" s="90">
        <f t="shared" si="9"/>
        <v>3650.08</v>
      </c>
      <c r="AB12" s="91">
        <v>1.1234</v>
      </c>
      <c r="AC12" s="111">
        <v>0.7131</v>
      </c>
      <c r="AD12" s="111">
        <v>1.5922</v>
      </c>
      <c r="AE12" s="91">
        <f t="shared" si="10"/>
        <v>74.24199999999999</v>
      </c>
      <c r="AF12" s="91">
        <f t="shared" si="11"/>
        <v>66.03200000000001</v>
      </c>
      <c r="AG12" s="91">
        <f t="shared" si="2"/>
        <v>3.4287</v>
      </c>
      <c r="AH12" s="91">
        <f t="shared" si="12"/>
        <v>140.274</v>
      </c>
      <c r="AI12" s="115">
        <f t="shared" si="13"/>
        <v>14.137166941154069</v>
      </c>
      <c r="AJ12" s="115">
        <f t="shared" si="14"/>
        <v>7.0685834705770345</v>
      </c>
      <c r="AK12" s="115">
        <f t="shared" si="15"/>
        <v>80.20400000000001</v>
      </c>
      <c r="AL12" s="115">
        <f t="shared" si="15"/>
        <v>71.204</v>
      </c>
      <c r="AM12" s="91">
        <f t="shared" si="16"/>
        <v>42</v>
      </c>
      <c r="AN12" s="91">
        <f t="shared" si="17"/>
        <v>21</v>
      </c>
      <c r="AO12" s="115">
        <f t="shared" si="18"/>
        <v>228.49555921538757</v>
      </c>
      <c r="AP12" s="127">
        <f t="shared" si="19"/>
        <v>114.24777960769379</v>
      </c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133"/>
    </row>
    <row r="13" spans="1:83" s="85" customFormat="1" ht="22.5" customHeight="1">
      <c r="A13" s="92" t="s">
        <v>743</v>
      </c>
      <c r="B13" s="91">
        <v>100</v>
      </c>
      <c r="C13" s="93">
        <v>87.4193</v>
      </c>
      <c r="D13" s="93">
        <v>32.6997</v>
      </c>
      <c r="E13" s="91">
        <f t="shared" si="21"/>
        <v>9201.910000000002</v>
      </c>
      <c r="F13" s="91">
        <f t="shared" si="3"/>
        <v>3777.2</v>
      </c>
      <c r="G13" s="91">
        <f t="shared" si="4"/>
        <v>12979.11</v>
      </c>
      <c r="H13" s="535">
        <v>0.15</v>
      </c>
      <c r="I13" s="535"/>
      <c r="J13" s="91">
        <f t="shared" si="20"/>
        <v>5</v>
      </c>
      <c r="K13" s="91">
        <f t="shared" si="5"/>
        <v>10</v>
      </c>
      <c r="L13" s="91">
        <v>15</v>
      </c>
      <c r="M13" s="90">
        <v>4.23</v>
      </c>
      <c r="N13" s="93">
        <v>3.8335</v>
      </c>
      <c r="O13" s="93">
        <v>7.2022</v>
      </c>
      <c r="P13" s="90">
        <f t="shared" si="0"/>
        <v>802.195</v>
      </c>
      <c r="Q13" s="90">
        <f t="shared" si="1"/>
        <v>712.33</v>
      </c>
      <c r="R13" s="90">
        <f t="shared" si="6"/>
        <v>1514.525</v>
      </c>
      <c r="S13" s="90">
        <v>9.915008</v>
      </c>
      <c r="T13" s="90">
        <v>1.095</v>
      </c>
      <c r="U13" s="93">
        <v>5.7274</v>
      </c>
      <c r="V13" s="90">
        <v>2</v>
      </c>
      <c r="W13" s="90">
        <v>2</v>
      </c>
      <c r="X13" s="93">
        <v>16.1548</v>
      </c>
      <c r="Y13" s="90">
        <f t="shared" si="7"/>
        <v>1858.5904</v>
      </c>
      <c r="Z13" s="90">
        <f t="shared" si="8"/>
        <v>1792.8600000000004</v>
      </c>
      <c r="AA13" s="90">
        <f t="shared" si="9"/>
        <v>3651.4504</v>
      </c>
      <c r="AB13" s="91">
        <v>1.1234</v>
      </c>
      <c r="AC13" s="111">
        <v>0.7536</v>
      </c>
      <c r="AD13" s="111">
        <v>1.6328</v>
      </c>
      <c r="AE13" s="91">
        <f t="shared" si="10"/>
        <v>74.27</v>
      </c>
      <c r="AF13" s="91">
        <f t="shared" si="11"/>
        <v>64.5</v>
      </c>
      <c r="AG13" s="91">
        <f t="shared" si="2"/>
        <v>3.5098000000000003</v>
      </c>
      <c r="AH13" s="91">
        <f t="shared" si="12"/>
        <v>138.76999999999998</v>
      </c>
      <c r="AI13" s="115">
        <f t="shared" si="13"/>
        <v>14.137166941154069</v>
      </c>
      <c r="AJ13" s="115">
        <f t="shared" si="14"/>
        <v>7.0685834705770345</v>
      </c>
      <c r="AK13" s="115">
        <f t="shared" si="15"/>
        <v>80.21950000000001</v>
      </c>
      <c r="AL13" s="115">
        <f t="shared" si="15"/>
        <v>71.233</v>
      </c>
      <c r="AM13" s="91">
        <f t="shared" si="16"/>
        <v>42</v>
      </c>
      <c r="AN13" s="91">
        <f t="shared" si="17"/>
        <v>21</v>
      </c>
      <c r="AO13" s="115">
        <f t="shared" si="18"/>
        <v>228.49555921538757</v>
      </c>
      <c r="AP13" s="127">
        <f t="shared" si="19"/>
        <v>114.24777960769379</v>
      </c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133"/>
    </row>
    <row r="14" spans="1:83" s="85" customFormat="1" ht="22.5" customHeight="1">
      <c r="A14" s="92" t="s">
        <v>744</v>
      </c>
      <c r="B14" s="91">
        <v>100</v>
      </c>
      <c r="C14" s="93">
        <v>81.4855</v>
      </c>
      <c r="D14" s="93">
        <v>29.6745</v>
      </c>
      <c r="E14" s="91">
        <f t="shared" si="21"/>
        <v>8445.240000000002</v>
      </c>
      <c r="F14" s="91">
        <f t="shared" si="3"/>
        <v>3118.71</v>
      </c>
      <c r="G14" s="91">
        <f t="shared" si="4"/>
        <v>11563.95</v>
      </c>
      <c r="H14" s="535">
        <v>0.15</v>
      </c>
      <c r="I14" s="535"/>
      <c r="J14" s="91">
        <f t="shared" si="20"/>
        <v>5</v>
      </c>
      <c r="K14" s="91">
        <f t="shared" si="5"/>
        <v>10</v>
      </c>
      <c r="L14" s="91">
        <v>15</v>
      </c>
      <c r="M14" s="90">
        <v>4.23</v>
      </c>
      <c r="N14" s="104">
        <v>3.7209</v>
      </c>
      <c r="O14" s="105">
        <v>6.9877</v>
      </c>
      <c r="P14" s="90">
        <f t="shared" si="0"/>
        <v>800.7200000000001</v>
      </c>
      <c r="Q14" s="90">
        <f t="shared" si="1"/>
        <v>709.4950000000001</v>
      </c>
      <c r="R14" s="90">
        <f t="shared" si="6"/>
        <v>1510.2150000000001</v>
      </c>
      <c r="S14" s="90">
        <v>9.915</v>
      </c>
      <c r="T14" s="90">
        <v>1.095</v>
      </c>
      <c r="U14" s="93">
        <v>5.3146</v>
      </c>
      <c r="V14" s="90">
        <v>2</v>
      </c>
      <c r="W14" s="90">
        <v>2</v>
      </c>
      <c r="X14" s="93">
        <v>15.5381</v>
      </c>
      <c r="Y14" s="90">
        <f t="shared" si="7"/>
        <v>1853.1004</v>
      </c>
      <c r="Z14" s="90">
        <f t="shared" si="8"/>
        <v>1784.645</v>
      </c>
      <c r="AA14" s="90">
        <f t="shared" si="9"/>
        <v>3637.7454</v>
      </c>
      <c r="AB14" s="91">
        <v>1.1234</v>
      </c>
      <c r="AC14" s="111">
        <v>0.6983</v>
      </c>
      <c r="AD14" s="111">
        <v>1.5774</v>
      </c>
      <c r="AE14" s="91">
        <f t="shared" si="10"/>
        <v>73.974</v>
      </c>
      <c r="AF14" s="91">
        <f t="shared" si="11"/>
        <v>64.204</v>
      </c>
      <c r="AG14" s="91">
        <f t="shared" si="2"/>
        <v>3.3991</v>
      </c>
      <c r="AH14" s="91">
        <f t="shared" si="12"/>
        <v>138.178</v>
      </c>
      <c r="AI14" s="115">
        <f t="shared" si="13"/>
        <v>14.137166941154069</v>
      </c>
      <c r="AJ14" s="115">
        <f t="shared" si="14"/>
        <v>7.0685834705770345</v>
      </c>
      <c r="AK14" s="115">
        <f t="shared" si="15"/>
        <v>80.07200000000002</v>
      </c>
      <c r="AL14" s="115">
        <f t="shared" si="15"/>
        <v>70.94950000000001</v>
      </c>
      <c r="AM14" s="91">
        <f t="shared" si="16"/>
        <v>42</v>
      </c>
      <c r="AN14" s="91">
        <f t="shared" si="17"/>
        <v>21</v>
      </c>
      <c r="AO14" s="115">
        <f t="shared" si="18"/>
        <v>228.49555921538757</v>
      </c>
      <c r="AP14" s="127">
        <f t="shared" si="19"/>
        <v>114.24777960769379</v>
      </c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133"/>
    </row>
    <row r="15" spans="1:83" s="85" customFormat="1" ht="22.5" customHeight="1">
      <c r="A15" s="92" t="s">
        <v>745</v>
      </c>
      <c r="B15" s="91">
        <v>100</v>
      </c>
      <c r="C15" s="93">
        <v>62.4768</v>
      </c>
      <c r="D15" s="93">
        <v>25.9509</v>
      </c>
      <c r="E15" s="91">
        <f t="shared" si="21"/>
        <v>7198.115</v>
      </c>
      <c r="F15" s="91">
        <f t="shared" si="3"/>
        <v>2781.27</v>
      </c>
      <c r="G15" s="91">
        <f t="shared" si="4"/>
        <v>9979.384999999998</v>
      </c>
      <c r="H15" s="535">
        <v>0.15</v>
      </c>
      <c r="I15" s="535"/>
      <c r="J15" s="91">
        <f t="shared" si="20"/>
        <v>5</v>
      </c>
      <c r="K15" s="91">
        <f t="shared" si="5"/>
        <v>10</v>
      </c>
      <c r="L15" s="91">
        <v>15</v>
      </c>
      <c r="M15" s="90">
        <v>4.23</v>
      </c>
      <c r="N15" s="93">
        <v>3.5296</v>
      </c>
      <c r="O15" s="93">
        <v>6.6076</v>
      </c>
      <c r="P15" s="90">
        <f t="shared" si="0"/>
        <v>785.5250000000001</v>
      </c>
      <c r="Q15" s="90">
        <f t="shared" si="1"/>
        <v>679.765</v>
      </c>
      <c r="R15" s="90">
        <f t="shared" si="6"/>
        <v>1465.29</v>
      </c>
      <c r="S15" s="90">
        <v>9.915</v>
      </c>
      <c r="T15" s="90">
        <v>1.095</v>
      </c>
      <c r="U15" s="93">
        <v>4.571</v>
      </c>
      <c r="V15" s="90">
        <v>2</v>
      </c>
      <c r="W15" s="90">
        <v>2</v>
      </c>
      <c r="X15" s="93">
        <v>14.7261</v>
      </c>
      <c r="Y15" s="90">
        <f t="shared" si="7"/>
        <v>1795.2799999999997</v>
      </c>
      <c r="Z15" s="90">
        <f t="shared" si="8"/>
        <v>1713.21</v>
      </c>
      <c r="AA15" s="90">
        <f t="shared" si="9"/>
        <v>3508.49</v>
      </c>
      <c r="AB15" s="91">
        <v>1.1234</v>
      </c>
      <c r="AC15" s="111">
        <v>0.5959</v>
      </c>
      <c r="AD15" s="111">
        <v>1.475</v>
      </c>
      <c r="AE15" s="91">
        <f t="shared" si="10"/>
        <v>70.82</v>
      </c>
      <c r="AF15" s="91">
        <f t="shared" si="11"/>
        <v>61.048</v>
      </c>
      <c r="AG15" s="91">
        <f t="shared" si="2"/>
        <v>3.1943</v>
      </c>
      <c r="AH15" s="91">
        <f t="shared" si="12"/>
        <v>131.868</v>
      </c>
      <c r="AI15" s="115">
        <f t="shared" si="13"/>
        <v>14.137166941154069</v>
      </c>
      <c r="AJ15" s="115">
        <f t="shared" si="14"/>
        <v>7.0685834705770345</v>
      </c>
      <c r="AK15" s="115">
        <f t="shared" si="15"/>
        <v>78.55250000000001</v>
      </c>
      <c r="AL15" s="115">
        <f t="shared" si="15"/>
        <v>67.9765</v>
      </c>
      <c r="AM15" s="91">
        <f t="shared" si="16"/>
        <v>42</v>
      </c>
      <c r="AN15" s="91">
        <f t="shared" si="17"/>
        <v>21</v>
      </c>
      <c r="AO15" s="115">
        <f t="shared" si="18"/>
        <v>228.49555921538757</v>
      </c>
      <c r="AP15" s="127">
        <f t="shared" si="19"/>
        <v>114.24777960769379</v>
      </c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133"/>
    </row>
    <row r="16" spans="1:83" s="85" customFormat="1" ht="22.5" customHeight="1">
      <c r="A16" s="92" t="s">
        <v>746</v>
      </c>
      <c r="B16" s="91">
        <v>100</v>
      </c>
      <c r="C16" s="93">
        <v>61.6998</v>
      </c>
      <c r="D16" s="93">
        <v>25.1539</v>
      </c>
      <c r="E16" s="91">
        <f t="shared" si="21"/>
        <v>6208.83</v>
      </c>
      <c r="F16" s="91">
        <f t="shared" si="3"/>
        <v>2555.24</v>
      </c>
      <c r="G16" s="91">
        <f t="shared" si="4"/>
        <v>8764.070000000002</v>
      </c>
      <c r="H16" s="535">
        <v>0.15</v>
      </c>
      <c r="I16" s="535"/>
      <c r="J16" s="91">
        <f t="shared" si="20"/>
        <v>5</v>
      </c>
      <c r="K16" s="91">
        <f t="shared" si="5"/>
        <v>10</v>
      </c>
      <c r="L16" s="91">
        <v>15</v>
      </c>
      <c r="M16" s="90">
        <v>4.23</v>
      </c>
      <c r="N16" s="93">
        <v>3.5125</v>
      </c>
      <c r="O16" s="93">
        <v>6.565</v>
      </c>
      <c r="P16" s="90">
        <f t="shared" si="0"/>
        <v>775.105</v>
      </c>
      <c r="Q16" s="90">
        <f t="shared" si="1"/>
        <v>658.63</v>
      </c>
      <c r="R16" s="90">
        <f t="shared" si="6"/>
        <v>1433.735</v>
      </c>
      <c r="S16" s="90">
        <v>9.915</v>
      </c>
      <c r="T16" s="90">
        <v>1.095</v>
      </c>
      <c r="U16" s="93">
        <v>4.4975</v>
      </c>
      <c r="V16" s="90">
        <v>2</v>
      </c>
      <c r="W16" s="90">
        <v>2</v>
      </c>
      <c r="X16" s="93">
        <v>14.1122</v>
      </c>
      <c r="Y16" s="90">
        <f t="shared" si="7"/>
        <v>1754.4249999999997</v>
      </c>
      <c r="Z16" s="90">
        <f t="shared" si="8"/>
        <v>1641.9150000000002</v>
      </c>
      <c r="AA16" s="90">
        <f t="shared" si="9"/>
        <v>3396.34</v>
      </c>
      <c r="AB16" s="91">
        <v>1.1234</v>
      </c>
      <c r="AC16" s="111">
        <v>0.5861</v>
      </c>
      <c r="AD16" s="111">
        <v>1.4652</v>
      </c>
      <c r="AE16" s="91">
        <f t="shared" si="10"/>
        <v>68.576</v>
      </c>
      <c r="AF16" s="91">
        <f t="shared" si="11"/>
        <v>58.803999999999995</v>
      </c>
      <c r="AG16" s="91">
        <f t="shared" si="2"/>
        <v>3.1746999999999996</v>
      </c>
      <c r="AH16" s="91">
        <f t="shared" si="12"/>
        <v>127.38</v>
      </c>
      <c r="AI16" s="115">
        <f t="shared" si="13"/>
        <v>14.137166941154069</v>
      </c>
      <c r="AJ16" s="115">
        <f t="shared" si="14"/>
        <v>7.0685834705770345</v>
      </c>
      <c r="AK16" s="115">
        <f t="shared" si="15"/>
        <v>77.51050000000001</v>
      </c>
      <c r="AL16" s="115">
        <f t="shared" si="15"/>
        <v>65.863</v>
      </c>
      <c r="AM16" s="91">
        <f t="shared" si="16"/>
        <v>42</v>
      </c>
      <c r="AN16" s="91">
        <f t="shared" si="17"/>
        <v>21</v>
      </c>
      <c r="AO16" s="115">
        <f t="shared" si="18"/>
        <v>228.49555921538757</v>
      </c>
      <c r="AP16" s="127">
        <f t="shared" si="19"/>
        <v>114.24777960769379</v>
      </c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133"/>
    </row>
    <row r="17" spans="1:83" s="85" customFormat="1" ht="22.5" customHeight="1">
      <c r="A17" s="92" t="s">
        <v>747</v>
      </c>
      <c r="B17" s="91">
        <v>100</v>
      </c>
      <c r="C17" s="93">
        <v>54.6518</v>
      </c>
      <c r="D17" s="93">
        <v>24.7033</v>
      </c>
      <c r="E17" s="91">
        <f t="shared" si="21"/>
        <v>5817.58</v>
      </c>
      <c r="F17" s="91">
        <f t="shared" si="3"/>
        <v>2492.86</v>
      </c>
      <c r="G17" s="91">
        <f t="shared" si="4"/>
        <v>8310.44</v>
      </c>
      <c r="H17" s="535">
        <v>0.15</v>
      </c>
      <c r="I17" s="535"/>
      <c r="J17" s="91">
        <f t="shared" si="20"/>
        <v>5</v>
      </c>
      <c r="K17" s="91">
        <f t="shared" si="5"/>
        <v>10</v>
      </c>
      <c r="L17" s="91">
        <v>15</v>
      </c>
      <c r="M17" s="90">
        <v>4.23</v>
      </c>
      <c r="N17" s="93">
        <v>3.6503</v>
      </c>
      <c r="O17" s="93">
        <v>6.8498</v>
      </c>
      <c r="P17" s="90">
        <f t="shared" si="0"/>
        <v>781.1400000000001</v>
      </c>
      <c r="Q17" s="90">
        <f t="shared" si="1"/>
        <v>670.74</v>
      </c>
      <c r="R17" s="90">
        <f t="shared" si="6"/>
        <v>1451.88</v>
      </c>
      <c r="S17" s="90">
        <v>9.915</v>
      </c>
      <c r="T17" s="90">
        <v>1.095</v>
      </c>
      <c r="U17" s="93">
        <v>5.046</v>
      </c>
      <c r="V17" s="90">
        <v>2</v>
      </c>
      <c r="W17" s="90">
        <v>2</v>
      </c>
      <c r="X17" s="93">
        <v>13.9833</v>
      </c>
      <c r="Y17" s="90">
        <f t="shared" si="7"/>
        <v>1778.1749999999995</v>
      </c>
      <c r="Z17" s="90">
        <f t="shared" si="8"/>
        <v>1604.775</v>
      </c>
      <c r="AA17" s="90">
        <f t="shared" si="9"/>
        <v>3382.95</v>
      </c>
      <c r="AB17" s="91">
        <v>1.1234</v>
      </c>
      <c r="AC17" s="111">
        <v>0.6618</v>
      </c>
      <c r="AD17" s="111">
        <v>1.5409</v>
      </c>
      <c r="AE17" s="91">
        <f t="shared" si="10"/>
        <v>69.89399999999999</v>
      </c>
      <c r="AF17" s="91">
        <f t="shared" si="11"/>
        <v>60.122</v>
      </c>
      <c r="AG17" s="91">
        <f t="shared" si="2"/>
        <v>3.3261000000000003</v>
      </c>
      <c r="AH17" s="91">
        <f t="shared" si="12"/>
        <v>130.016</v>
      </c>
      <c r="AI17" s="115">
        <f t="shared" si="13"/>
        <v>14.137166941154069</v>
      </c>
      <c r="AJ17" s="115">
        <f t="shared" si="14"/>
        <v>7.0685834705770345</v>
      </c>
      <c r="AK17" s="115">
        <f t="shared" si="15"/>
        <v>78.114</v>
      </c>
      <c r="AL17" s="115">
        <f t="shared" si="15"/>
        <v>67.074</v>
      </c>
      <c r="AM17" s="91">
        <f t="shared" si="16"/>
        <v>42</v>
      </c>
      <c r="AN17" s="91">
        <f t="shared" si="17"/>
        <v>21</v>
      </c>
      <c r="AO17" s="115">
        <f t="shared" si="18"/>
        <v>228.49555921538757</v>
      </c>
      <c r="AP17" s="127">
        <f t="shared" si="19"/>
        <v>114.24777960769379</v>
      </c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133"/>
    </row>
    <row r="18" spans="1:83" s="85" customFormat="1" ht="22.5" customHeight="1">
      <c r="A18" s="92" t="s">
        <v>748</v>
      </c>
      <c r="B18" s="91">
        <v>100</v>
      </c>
      <c r="C18" s="93">
        <v>90.7534</v>
      </c>
      <c r="D18" s="93">
        <v>15.2911</v>
      </c>
      <c r="E18" s="91">
        <f t="shared" si="21"/>
        <v>7270.26</v>
      </c>
      <c r="F18" s="91">
        <f t="shared" si="3"/>
        <v>1999.72</v>
      </c>
      <c r="G18" s="91">
        <f t="shared" si="4"/>
        <v>9269.98</v>
      </c>
      <c r="H18" s="535">
        <v>0.15</v>
      </c>
      <c r="I18" s="535"/>
      <c r="J18" s="91">
        <f t="shared" si="20"/>
        <v>5</v>
      </c>
      <c r="K18" s="91">
        <f t="shared" si="5"/>
        <v>10</v>
      </c>
      <c r="L18" s="91">
        <v>15</v>
      </c>
      <c r="M18" s="90">
        <v>4.23</v>
      </c>
      <c r="N18" s="93">
        <v>3.4737</v>
      </c>
      <c r="O18" s="93">
        <v>6.492</v>
      </c>
      <c r="P18" s="90">
        <f t="shared" si="0"/>
        <v>779.2</v>
      </c>
      <c r="Q18" s="90">
        <f t="shared" si="1"/>
        <v>667.0899999999999</v>
      </c>
      <c r="R18" s="90">
        <f t="shared" si="6"/>
        <v>1446.2900000000002</v>
      </c>
      <c r="S18" s="90">
        <v>9.915</v>
      </c>
      <c r="T18" s="90">
        <v>1.095</v>
      </c>
      <c r="U18" s="93">
        <v>4.3359</v>
      </c>
      <c r="V18" s="90">
        <v>2</v>
      </c>
      <c r="W18" s="90">
        <v>2</v>
      </c>
      <c r="X18" s="93">
        <v>12.498</v>
      </c>
      <c r="Y18" s="90">
        <f t="shared" si="7"/>
        <v>1770.0949999999998</v>
      </c>
      <c r="Z18" s="90">
        <f t="shared" si="8"/>
        <v>1524.0649999999998</v>
      </c>
      <c r="AA18" s="90">
        <f t="shared" si="9"/>
        <v>3294.1599999999994</v>
      </c>
      <c r="AB18" s="91">
        <v>1.1234</v>
      </c>
      <c r="AC18" s="111">
        <v>0.5635</v>
      </c>
      <c r="AD18" s="111">
        <v>1.4426</v>
      </c>
      <c r="AE18" s="91">
        <f t="shared" si="10"/>
        <v>69.442</v>
      </c>
      <c r="AF18" s="91">
        <f t="shared" si="11"/>
        <v>59.67</v>
      </c>
      <c r="AG18" s="91">
        <f t="shared" si="2"/>
        <v>3.1295</v>
      </c>
      <c r="AH18" s="91">
        <f t="shared" si="12"/>
        <v>129.112</v>
      </c>
      <c r="AI18" s="115">
        <f t="shared" si="13"/>
        <v>14.137166941154069</v>
      </c>
      <c r="AJ18" s="115">
        <f t="shared" si="14"/>
        <v>7.0685834705770345</v>
      </c>
      <c r="AK18" s="115">
        <f t="shared" si="15"/>
        <v>77.92</v>
      </c>
      <c r="AL18" s="115">
        <f t="shared" si="15"/>
        <v>66.70899999999999</v>
      </c>
      <c r="AM18" s="91">
        <f t="shared" si="16"/>
        <v>42</v>
      </c>
      <c r="AN18" s="91">
        <f t="shared" si="17"/>
        <v>21</v>
      </c>
      <c r="AO18" s="115">
        <f t="shared" si="18"/>
        <v>228.49555921538757</v>
      </c>
      <c r="AP18" s="127">
        <f t="shared" si="19"/>
        <v>114.24777960769379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133"/>
    </row>
    <row r="19" spans="1:83" s="85" customFormat="1" ht="22.5" customHeight="1">
      <c r="A19" s="92" t="s">
        <v>749</v>
      </c>
      <c r="B19" s="91">
        <v>100</v>
      </c>
      <c r="C19" s="93">
        <v>74.7226</v>
      </c>
      <c r="D19" s="93">
        <v>15.9769</v>
      </c>
      <c r="E19" s="91">
        <f t="shared" si="21"/>
        <v>8273.8</v>
      </c>
      <c r="F19" s="91">
        <f t="shared" si="3"/>
        <v>1563.4</v>
      </c>
      <c r="G19" s="91">
        <f t="shared" si="4"/>
        <v>9837.2</v>
      </c>
      <c r="H19" s="535">
        <v>0.15</v>
      </c>
      <c r="I19" s="535"/>
      <c r="J19" s="91">
        <f t="shared" si="20"/>
        <v>5</v>
      </c>
      <c r="K19" s="91">
        <f t="shared" si="5"/>
        <v>10</v>
      </c>
      <c r="L19" s="91">
        <v>15</v>
      </c>
      <c r="M19" s="90">
        <v>4.23</v>
      </c>
      <c r="N19" s="93">
        <v>3.8461</v>
      </c>
      <c r="O19" s="93">
        <v>7.1347</v>
      </c>
      <c r="P19" s="90">
        <f t="shared" si="0"/>
        <v>788.9900000000001</v>
      </c>
      <c r="Q19" s="90">
        <f t="shared" si="1"/>
        <v>681.335</v>
      </c>
      <c r="R19" s="90">
        <f t="shared" si="6"/>
        <v>1470.325</v>
      </c>
      <c r="S19" s="90">
        <v>9.915</v>
      </c>
      <c r="T19" s="90">
        <v>1.095</v>
      </c>
      <c r="U19" s="93">
        <v>5.5873</v>
      </c>
      <c r="V19" s="90">
        <v>2</v>
      </c>
      <c r="W19" s="90">
        <v>2</v>
      </c>
      <c r="X19" s="93">
        <v>14.0067</v>
      </c>
      <c r="Y19" s="90">
        <f t="shared" si="7"/>
        <v>1797.1599999999994</v>
      </c>
      <c r="Z19" s="90">
        <f t="shared" si="8"/>
        <v>1525.235</v>
      </c>
      <c r="AA19" s="90">
        <f t="shared" si="9"/>
        <v>3322.3950000000004</v>
      </c>
      <c r="AB19" s="91">
        <v>1.1234</v>
      </c>
      <c r="AC19" s="111">
        <v>0.7102</v>
      </c>
      <c r="AD19" s="111">
        <v>1.5893</v>
      </c>
      <c r="AE19" s="91">
        <f t="shared" si="10"/>
        <v>70.41</v>
      </c>
      <c r="AF19" s="91">
        <f t="shared" si="11"/>
        <v>60.63800000000001</v>
      </c>
      <c r="AG19" s="91">
        <f t="shared" si="2"/>
        <v>3.4229000000000003</v>
      </c>
      <c r="AH19" s="91">
        <f t="shared" si="12"/>
        <v>131.048</v>
      </c>
      <c r="AI19" s="115">
        <f t="shared" si="13"/>
        <v>14.137166941154069</v>
      </c>
      <c r="AJ19" s="115">
        <f t="shared" si="14"/>
        <v>7.0685834705770345</v>
      </c>
      <c r="AK19" s="115">
        <f t="shared" si="15"/>
        <v>78.89900000000002</v>
      </c>
      <c r="AL19" s="115">
        <f t="shared" si="15"/>
        <v>68.1335</v>
      </c>
      <c r="AM19" s="91">
        <f t="shared" si="16"/>
        <v>42</v>
      </c>
      <c r="AN19" s="91">
        <f t="shared" si="17"/>
        <v>21</v>
      </c>
      <c r="AO19" s="115">
        <f t="shared" si="18"/>
        <v>228.49555921538757</v>
      </c>
      <c r="AP19" s="127">
        <f t="shared" si="19"/>
        <v>114.24777960769379</v>
      </c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133"/>
    </row>
    <row r="20" spans="1:83" s="85" customFormat="1" ht="22.5" customHeight="1">
      <c r="A20" s="92" t="s">
        <v>750</v>
      </c>
      <c r="B20" s="91">
        <v>100</v>
      </c>
      <c r="C20" s="93">
        <v>72.3637</v>
      </c>
      <c r="D20" s="93">
        <v>21.2182</v>
      </c>
      <c r="E20" s="91">
        <f t="shared" si="21"/>
        <v>7354.315</v>
      </c>
      <c r="F20" s="91">
        <f t="shared" si="3"/>
        <v>1859.7549999999999</v>
      </c>
      <c r="G20" s="91">
        <f t="shared" si="4"/>
        <v>9214.07</v>
      </c>
      <c r="H20" s="535">
        <v>0.15</v>
      </c>
      <c r="I20" s="535"/>
      <c r="J20" s="91">
        <f t="shared" si="20"/>
        <v>5</v>
      </c>
      <c r="K20" s="91">
        <f t="shared" si="5"/>
        <v>10</v>
      </c>
      <c r="L20" s="91">
        <v>15</v>
      </c>
      <c r="M20" s="90">
        <v>4.23</v>
      </c>
      <c r="N20" s="93">
        <v>3.8731</v>
      </c>
      <c r="O20" s="93">
        <v>7.1792</v>
      </c>
      <c r="P20" s="90">
        <f t="shared" si="0"/>
        <v>808.96</v>
      </c>
      <c r="Q20" s="90">
        <f t="shared" si="1"/>
        <v>715.695</v>
      </c>
      <c r="R20" s="90">
        <f t="shared" si="6"/>
        <v>1524.6550000000002</v>
      </c>
      <c r="S20" s="90">
        <v>9.915</v>
      </c>
      <c r="T20" s="90">
        <v>1.095</v>
      </c>
      <c r="U20" s="93">
        <v>5.675</v>
      </c>
      <c r="V20" s="90">
        <v>2</v>
      </c>
      <c r="W20" s="90">
        <v>2</v>
      </c>
      <c r="X20" s="93">
        <v>14.2568</v>
      </c>
      <c r="Y20" s="90">
        <f t="shared" si="7"/>
        <v>1864.115</v>
      </c>
      <c r="Z20" s="90">
        <f t="shared" si="8"/>
        <v>1613.175</v>
      </c>
      <c r="AA20" s="90">
        <f t="shared" si="9"/>
        <v>3477.289999999999</v>
      </c>
      <c r="AB20" s="91">
        <v>1.1234</v>
      </c>
      <c r="AC20" s="111">
        <v>0.7197</v>
      </c>
      <c r="AD20" s="111">
        <v>1.5988</v>
      </c>
      <c r="AE20" s="91">
        <f t="shared" si="10"/>
        <v>73.53399999999999</v>
      </c>
      <c r="AF20" s="91">
        <f t="shared" si="11"/>
        <v>63.762</v>
      </c>
      <c r="AG20" s="91">
        <f t="shared" si="2"/>
        <v>3.4419000000000004</v>
      </c>
      <c r="AH20" s="91">
        <f t="shared" si="12"/>
        <v>137.296</v>
      </c>
      <c r="AI20" s="115">
        <f t="shared" si="13"/>
        <v>14.137166941154069</v>
      </c>
      <c r="AJ20" s="115">
        <f t="shared" si="14"/>
        <v>7.0685834705770345</v>
      </c>
      <c r="AK20" s="115">
        <f t="shared" si="15"/>
        <v>80.896</v>
      </c>
      <c r="AL20" s="115">
        <f t="shared" si="15"/>
        <v>71.5695</v>
      </c>
      <c r="AM20" s="91">
        <f t="shared" si="16"/>
        <v>42</v>
      </c>
      <c r="AN20" s="91">
        <f t="shared" si="17"/>
        <v>21</v>
      </c>
      <c r="AO20" s="115">
        <f t="shared" si="18"/>
        <v>228.49555921538757</v>
      </c>
      <c r="AP20" s="127">
        <f t="shared" si="19"/>
        <v>114.24777960769379</v>
      </c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133"/>
    </row>
    <row r="21" spans="1:83" s="85" customFormat="1" ht="22.5" customHeight="1">
      <c r="A21" s="92" t="s">
        <v>751</v>
      </c>
      <c r="B21" s="91">
        <v>100</v>
      </c>
      <c r="C21" s="93">
        <v>62.4117</v>
      </c>
      <c r="D21" s="93">
        <v>14.1776</v>
      </c>
      <c r="E21" s="91">
        <f t="shared" si="21"/>
        <v>6738.7699999999995</v>
      </c>
      <c r="F21" s="91">
        <f t="shared" si="3"/>
        <v>1769.79</v>
      </c>
      <c r="G21" s="91">
        <f t="shared" si="4"/>
        <v>8508.56</v>
      </c>
      <c r="H21" s="535">
        <v>0.15</v>
      </c>
      <c r="I21" s="535"/>
      <c r="J21" s="91">
        <f t="shared" si="20"/>
        <v>5</v>
      </c>
      <c r="K21" s="91">
        <f t="shared" si="5"/>
        <v>10</v>
      </c>
      <c r="L21" s="91">
        <v>15</v>
      </c>
      <c r="M21" s="90">
        <v>4.23</v>
      </c>
      <c r="N21" s="93">
        <v>3.7116</v>
      </c>
      <c r="O21" s="93">
        <v>6.9696</v>
      </c>
      <c r="P21" s="90">
        <f t="shared" si="0"/>
        <v>802.2350000000001</v>
      </c>
      <c r="Q21" s="90">
        <f t="shared" si="1"/>
        <v>707.4399999999999</v>
      </c>
      <c r="R21" s="90">
        <f t="shared" si="6"/>
        <v>1509.675</v>
      </c>
      <c r="S21" s="90">
        <v>9.915</v>
      </c>
      <c r="T21" s="90">
        <v>1.095</v>
      </c>
      <c r="U21" s="93">
        <v>5.2796</v>
      </c>
      <c r="V21" s="90">
        <v>2</v>
      </c>
      <c r="W21" s="90">
        <v>2</v>
      </c>
      <c r="X21" s="93">
        <v>13.8025</v>
      </c>
      <c r="Y21" s="90">
        <f t="shared" si="7"/>
        <v>1848.7299999999998</v>
      </c>
      <c r="Z21" s="90">
        <f t="shared" si="8"/>
        <v>1602.965</v>
      </c>
      <c r="AA21" s="90">
        <f t="shared" si="9"/>
        <v>3451.6949999999993</v>
      </c>
      <c r="AB21" s="91">
        <v>1.1234</v>
      </c>
      <c r="AC21" s="111">
        <v>0.5006</v>
      </c>
      <c r="AD21" s="111">
        <v>1.3285</v>
      </c>
      <c r="AE21" s="91">
        <f t="shared" si="10"/>
        <v>69.342</v>
      </c>
      <c r="AF21" s="91">
        <f t="shared" si="11"/>
        <v>58.54599999999999</v>
      </c>
      <c r="AG21" s="91">
        <f t="shared" si="2"/>
        <v>2.9524999999999997</v>
      </c>
      <c r="AH21" s="91">
        <f t="shared" si="12"/>
        <v>127.88799999999999</v>
      </c>
      <c r="AI21" s="115">
        <f t="shared" si="13"/>
        <v>14.137166941154069</v>
      </c>
      <c r="AJ21" s="115">
        <f t="shared" si="14"/>
        <v>7.0685834705770345</v>
      </c>
      <c r="AK21" s="115">
        <f t="shared" si="15"/>
        <v>80.22350000000002</v>
      </c>
      <c r="AL21" s="115">
        <f t="shared" si="15"/>
        <v>70.744</v>
      </c>
      <c r="AM21" s="91">
        <f t="shared" si="16"/>
        <v>42</v>
      </c>
      <c r="AN21" s="91">
        <f t="shared" si="17"/>
        <v>21</v>
      </c>
      <c r="AO21" s="115">
        <f t="shared" si="18"/>
        <v>228.49555921538757</v>
      </c>
      <c r="AP21" s="127">
        <f t="shared" si="19"/>
        <v>114.24777960769379</v>
      </c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133"/>
    </row>
    <row r="22" spans="1:83" s="85" customFormat="1" ht="22.5" customHeight="1">
      <c r="A22" s="92" t="s">
        <v>752</v>
      </c>
      <c r="B22" s="91">
        <v>100</v>
      </c>
      <c r="C22" s="93">
        <v>67.8747</v>
      </c>
      <c r="D22" s="93">
        <v>25.3754</v>
      </c>
      <c r="E22" s="91">
        <f t="shared" si="21"/>
        <v>6514.320000000001</v>
      </c>
      <c r="F22" s="91">
        <f t="shared" si="3"/>
        <v>1977.6499999999999</v>
      </c>
      <c r="G22" s="91">
        <f t="shared" si="4"/>
        <v>8491.970000000001</v>
      </c>
      <c r="H22" s="535">
        <v>0.15</v>
      </c>
      <c r="I22" s="535"/>
      <c r="J22" s="91">
        <f t="shared" si="20"/>
        <v>5</v>
      </c>
      <c r="K22" s="91">
        <f t="shared" si="5"/>
        <v>10</v>
      </c>
      <c r="L22" s="91">
        <v>15</v>
      </c>
      <c r="M22" s="90">
        <v>4.23</v>
      </c>
      <c r="N22" s="93">
        <v>3.6748</v>
      </c>
      <c r="O22" s="93">
        <v>6.898</v>
      </c>
      <c r="P22" s="90">
        <f t="shared" si="0"/>
        <v>792.3199999999999</v>
      </c>
      <c r="Q22" s="90">
        <f t="shared" si="1"/>
        <v>693.38</v>
      </c>
      <c r="R22" s="90">
        <f t="shared" si="6"/>
        <v>1485.7</v>
      </c>
      <c r="S22" s="90">
        <v>9.62816</v>
      </c>
      <c r="T22" s="90">
        <v>1.095</v>
      </c>
      <c r="U22" s="93">
        <v>5.1403</v>
      </c>
      <c r="V22" s="90">
        <v>2</v>
      </c>
      <c r="W22" s="90">
        <v>2</v>
      </c>
      <c r="X22" s="93">
        <v>14.8982</v>
      </c>
      <c r="Y22" s="90">
        <f t="shared" si="7"/>
        <v>1807.6529999999998</v>
      </c>
      <c r="Z22" s="90">
        <f t="shared" si="8"/>
        <v>1635.0349999999999</v>
      </c>
      <c r="AA22" s="90">
        <f t="shared" si="9"/>
        <v>3442.6879999999996</v>
      </c>
      <c r="AB22" s="91">
        <v>1.1234</v>
      </c>
      <c r="AC22" s="111">
        <v>0.6747</v>
      </c>
      <c r="AD22" s="111">
        <v>1.5538</v>
      </c>
      <c r="AE22" s="91">
        <f t="shared" si="10"/>
        <v>68.442</v>
      </c>
      <c r="AF22" s="91">
        <f t="shared" si="11"/>
        <v>57.645999999999994</v>
      </c>
      <c r="AG22" s="91">
        <f t="shared" si="2"/>
        <v>3.3518999999999997</v>
      </c>
      <c r="AH22" s="91">
        <f t="shared" si="12"/>
        <v>126.088</v>
      </c>
      <c r="AI22" s="115">
        <f t="shared" si="13"/>
        <v>14.137166941154069</v>
      </c>
      <c r="AJ22" s="115">
        <f t="shared" si="14"/>
        <v>7.0685834705770345</v>
      </c>
      <c r="AK22" s="115">
        <f t="shared" si="15"/>
        <v>79.232</v>
      </c>
      <c r="AL22" s="115">
        <f t="shared" si="15"/>
        <v>69.338</v>
      </c>
      <c r="AM22" s="91">
        <f t="shared" si="16"/>
        <v>42</v>
      </c>
      <c r="AN22" s="91">
        <f t="shared" si="17"/>
        <v>21</v>
      </c>
      <c r="AO22" s="115">
        <f t="shared" si="18"/>
        <v>228.49555921538757</v>
      </c>
      <c r="AP22" s="127">
        <f t="shared" si="19"/>
        <v>114.24777960769379</v>
      </c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133"/>
    </row>
    <row r="23" spans="1:83" s="85" customFormat="1" ht="22.5" customHeight="1">
      <c r="A23" s="92" t="s">
        <v>753</v>
      </c>
      <c r="B23" s="91">
        <v>100</v>
      </c>
      <c r="C23" s="93">
        <v>48.9696</v>
      </c>
      <c r="D23" s="93">
        <v>18.2301</v>
      </c>
      <c r="E23" s="91">
        <f t="shared" si="21"/>
        <v>5842.215</v>
      </c>
      <c r="F23" s="91">
        <f t="shared" si="3"/>
        <v>2180.275</v>
      </c>
      <c r="G23" s="91">
        <f t="shared" si="4"/>
        <v>8022.490000000001</v>
      </c>
      <c r="H23" s="535">
        <v>0.15</v>
      </c>
      <c r="I23" s="535"/>
      <c r="J23" s="91">
        <f t="shared" si="20"/>
        <v>5</v>
      </c>
      <c r="K23" s="91">
        <f t="shared" si="5"/>
        <v>10</v>
      </c>
      <c r="L23" s="91">
        <v>15</v>
      </c>
      <c r="M23" s="90">
        <v>4.23</v>
      </c>
      <c r="N23" s="93">
        <v>3.7402</v>
      </c>
      <c r="O23" s="93">
        <v>6.9586</v>
      </c>
      <c r="P23" s="90">
        <f t="shared" si="0"/>
        <v>793.75</v>
      </c>
      <c r="Q23" s="90">
        <f t="shared" si="1"/>
        <v>692.83</v>
      </c>
      <c r="R23" s="90">
        <f t="shared" si="6"/>
        <v>1486.5800000000002</v>
      </c>
      <c r="S23" s="90">
        <v>9.915</v>
      </c>
      <c r="T23" s="90">
        <v>1.095</v>
      </c>
      <c r="U23" s="93">
        <v>5.2423</v>
      </c>
      <c r="V23" s="90">
        <v>2</v>
      </c>
      <c r="W23" s="90">
        <v>2</v>
      </c>
      <c r="X23" s="93">
        <v>13.5764</v>
      </c>
      <c r="Y23" s="90">
        <f t="shared" si="7"/>
        <v>1805.7879999999998</v>
      </c>
      <c r="Z23" s="90">
        <f t="shared" si="8"/>
        <v>1623.7299999999998</v>
      </c>
      <c r="AA23" s="90">
        <f t="shared" si="9"/>
        <v>3429.5179999999996</v>
      </c>
      <c r="AB23" s="91">
        <v>1.1234</v>
      </c>
      <c r="AC23" s="111">
        <v>0.6721</v>
      </c>
      <c r="AD23" s="111">
        <v>1.5512</v>
      </c>
      <c r="AE23" s="91">
        <f t="shared" si="10"/>
        <v>71.872</v>
      </c>
      <c r="AF23" s="91">
        <f t="shared" si="11"/>
        <v>62.1</v>
      </c>
      <c r="AG23" s="91">
        <f t="shared" si="2"/>
        <v>3.3467000000000002</v>
      </c>
      <c r="AH23" s="91">
        <f t="shared" si="12"/>
        <v>133.972</v>
      </c>
      <c r="AI23" s="115">
        <f t="shared" si="13"/>
        <v>14.137166941154069</v>
      </c>
      <c r="AJ23" s="115">
        <f t="shared" si="14"/>
        <v>7.0685834705770345</v>
      </c>
      <c r="AK23" s="115">
        <f t="shared" si="15"/>
        <v>79.375</v>
      </c>
      <c r="AL23" s="115">
        <f t="shared" si="15"/>
        <v>69.283</v>
      </c>
      <c r="AM23" s="91">
        <f t="shared" si="16"/>
        <v>42</v>
      </c>
      <c r="AN23" s="91">
        <f t="shared" si="17"/>
        <v>21</v>
      </c>
      <c r="AO23" s="115">
        <f t="shared" si="18"/>
        <v>228.49555921538757</v>
      </c>
      <c r="AP23" s="127">
        <f t="shared" si="19"/>
        <v>114.24777960769379</v>
      </c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133"/>
    </row>
    <row r="24" spans="1:83" s="85" customFormat="1" ht="22.5" customHeight="1">
      <c r="A24" s="92" t="s">
        <v>754</v>
      </c>
      <c r="B24" s="91">
        <v>100</v>
      </c>
      <c r="C24" s="93">
        <v>36.934</v>
      </c>
      <c r="D24" s="93">
        <v>16.6456</v>
      </c>
      <c r="E24" s="91">
        <f t="shared" si="21"/>
        <v>4295.18</v>
      </c>
      <c r="F24" s="91">
        <f t="shared" si="3"/>
        <v>1743.785</v>
      </c>
      <c r="G24" s="91">
        <f t="shared" si="4"/>
        <v>6038.964999999999</v>
      </c>
      <c r="H24" s="535">
        <v>0.15</v>
      </c>
      <c r="I24" s="535"/>
      <c r="J24" s="91">
        <f t="shared" si="20"/>
        <v>5</v>
      </c>
      <c r="K24" s="91">
        <f t="shared" si="5"/>
        <v>10</v>
      </c>
      <c r="L24" s="91">
        <v>15</v>
      </c>
      <c r="M24" s="90">
        <v>4.23</v>
      </c>
      <c r="N24" s="93">
        <v>3.7426</v>
      </c>
      <c r="O24" s="93">
        <v>7.0294</v>
      </c>
      <c r="P24" s="90">
        <f t="shared" si="0"/>
        <v>797.14</v>
      </c>
      <c r="Q24" s="90">
        <f t="shared" si="1"/>
        <v>699.4</v>
      </c>
      <c r="R24" s="90">
        <f t="shared" si="6"/>
        <v>1496.54</v>
      </c>
      <c r="S24" s="90">
        <v>9.4325</v>
      </c>
      <c r="T24" s="90">
        <v>1.095</v>
      </c>
      <c r="U24" s="93">
        <v>5.3954</v>
      </c>
      <c r="V24" s="90">
        <v>2</v>
      </c>
      <c r="W24" s="90">
        <v>2</v>
      </c>
      <c r="X24" s="93">
        <v>13.6973</v>
      </c>
      <c r="Y24" s="90">
        <f t="shared" si="7"/>
        <v>1808.7599999999998</v>
      </c>
      <c r="Z24" s="90">
        <f t="shared" si="8"/>
        <v>1563.685</v>
      </c>
      <c r="AA24" s="90">
        <f t="shared" si="9"/>
        <v>3372.4449999999997</v>
      </c>
      <c r="AB24" s="91">
        <v>1.1234</v>
      </c>
      <c r="AC24" s="111">
        <v>0.7092</v>
      </c>
      <c r="AD24" s="111">
        <v>1.5883</v>
      </c>
      <c r="AE24" s="91">
        <f t="shared" si="10"/>
        <v>72.562</v>
      </c>
      <c r="AF24" s="91">
        <f t="shared" si="11"/>
        <v>62.79</v>
      </c>
      <c r="AG24" s="91">
        <f t="shared" si="2"/>
        <v>3.4209000000000005</v>
      </c>
      <c r="AH24" s="91">
        <f t="shared" si="12"/>
        <v>135.352</v>
      </c>
      <c r="AI24" s="115">
        <f t="shared" si="13"/>
        <v>14.137166941154069</v>
      </c>
      <c r="AJ24" s="115">
        <f t="shared" si="14"/>
        <v>7.0685834705770345</v>
      </c>
      <c r="AK24" s="115">
        <f t="shared" si="15"/>
        <v>79.714</v>
      </c>
      <c r="AL24" s="115">
        <f t="shared" si="15"/>
        <v>69.94</v>
      </c>
      <c r="AM24" s="91">
        <f t="shared" si="16"/>
        <v>42</v>
      </c>
      <c r="AN24" s="91">
        <f t="shared" si="17"/>
        <v>21</v>
      </c>
      <c r="AO24" s="115">
        <f t="shared" si="18"/>
        <v>228.49555921538757</v>
      </c>
      <c r="AP24" s="127">
        <f t="shared" si="19"/>
        <v>114.24777960769379</v>
      </c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133"/>
    </row>
    <row r="25" spans="1:83" s="85" customFormat="1" ht="22.5" customHeight="1">
      <c r="A25" s="92" t="s">
        <v>667</v>
      </c>
      <c r="B25" s="91">
        <v>116</v>
      </c>
      <c r="C25" s="93">
        <v>36.934</v>
      </c>
      <c r="D25" s="93">
        <v>16.6456</v>
      </c>
      <c r="E25" s="91">
        <f t="shared" si="21"/>
        <v>4284.344</v>
      </c>
      <c r="F25" s="91">
        <f t="shared" si="3"/>
        <v>1930.8896000000002</v>
      </c>
      <c r="G25" s="91">
        <f>(D25+C25+D24+C24)/2*116</f>
        <v>6215.2336</v>
      </c>
      <c r="H25" s="535">
        <v>0.15</v>
      </c>
      <c r="I25" s="535"/>
      <c r="J25" s="91">
        <f t="shared" si="20"/>
        <v>5.800000000000001</v>
      </c>
      <c r="K25" s="91">
        <f t="shared" si="5"/>
        <v>11.600000000000001</v>
      </c>
      <c r="L25" s="91">
        <f>H25*B25</f>
        <v>17.4</v>
      </c>
      <c r="M25" s="90">
        <v>4.23</v>
      </c>
      <c r="N25" s="93">
        <v>3.7426</v>
      </c>
      <c r="O25" s="93">
        <v>7.0294</v>
      </c>
      <c r="P25" s="90">
        <f t="shared" si="0"/>
        <v>924.8216</v>
      </c>
      <c r="Q25" s="90">
        <f t="shared" si="1"/>
        <v>815.4104</v>
      </c>
      <c r="R25" s="90">
        <f>(O25+O24+N24+N25+M25+M24)/2*116</f>
        <v>1740.232</v>
      </c>
      <c r="S25" s="90">
        <v>9.4325</v>
      </c>
      <c r="T25" s="90">
        <v>1.095</v>
      </c>
      <c r="U25" s="93">
        <v>5.3954</v>
      </c>
      <c r="V25" s="90">
        <v>2</v>
      </c>
      <c r="W25" s="90">
        <v>2</v>
      </c>
      <c r="X25" s="93">
        <v>13.6973</v>
      </c>
      <c r="Y25" s="90">
        <f t="shared" si="7"/>
        <v>2079.0564</v>
      </c>
      <c r="Z25" s="90">
        <f t="shared" si="8"/>
        <v>1820.8867999999998</v>
      </c>
      <c r="AA25" s="90">
        <f>(X24+X25+W25+W24+V24+V25+U25+U24+T24+T25+S25+S24)/2*116</f>
        <v>3899.9431999999997</v>
      </c>
      <c r="AB25" s="91">
        <v>1.1234</v>
      </c>
      <c r="AC25" s="111">
        <v>0.7092</v>
      </c>
      <c r="AD25" s="111">
        <v>1.5883</v>
      </c>
      <c r="AE25" s="91">
        <f t="shared" si="10"/>
        <v>85.03264</v>
      </c>
      <c r="AF25" s="91">
        <f t="shared" si="11"/>
        <v>73.69712000000001</v>
      </c>
      <c r="AG25" s="91">
        <f t="shared" si="2"/>
        <v>3.4209000000000005</v>
      </c>
      <c r="AH25" s="91">
        <f t="shared" si="12"/>
        <v>158.72976</v>
      </c>
      <c r="AI25" s="115">
        <f t="shared" si="13"/>
        <v>16.39911365173872</v>
      </c>
      <c r="AJ25" s="115">
        <f t="shared" si="14"/>
        <v>8.19955682586936</v>
      </c>
      <c r="AK25" s="115">
        <f t="shared" si="15"/>
        <v>92.48216</v>
      </c>
      <c r="AL25" s="115">
        <f t="shared" si="15"/>
        <v>81.54104</v>
      </c>
      <c r="AM25" s="85">
        <f t="shared" si="16"/>
        <v>48.720000000000006</v>
      </c>
      <c r="AN25" s="85">
        <f t="shared" si="17"/>
        <v>24.360000000000003</v>
      </c>
      <c r="AO25" s="115">
        <f t="shared" si="18"/>
        <v>265.05484868984956</v>
      </c>
      <c r="AP25" s="127">
        <f t="shared" si="19"/>
        <v>132.52742434492478</v>
      </c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133"/>
    </row>
    <row r="26" spans="1:83" s="85" customFormat="1" ht="22.5" customHeight="1">
      <c r="A26" s="92" t="s">
        <v>128</v>
      </c>
      <c r="B26" s="91">
        <f>SUM(B4:B25)</f>
        <v>2116</v>
      </c>
      <c r="C26" s="91"/>
      <c r="D26" s="91"/>
      <c r="E26" s="91">
        <f>SUM(E5:E25)</f>
        <v>149614.16900000002</v>
      </c>
      <c r="F26" s="91">
        <f>SUM(F5:F25)</f>
        <v>59071.179599999996</v>
      </c>
      <c r="G26" s="91">
        <f>SUM(G5:G25)</f>
        <v>208685.34860000003</v>
      </c>
      <c r="H26" s="542"/>
      <c r="I26" s="543"/>
      <c r="J26" s="91">
        <f>SUM(J5:J25)</f>
        <v>105.8</v>
      </c>
      <c r="K26" s="91">
        <f>SUM(K5:K25)</f>
        <v>211.6</v>
      </c>
      <c r="L26" s="91">
        <f>SUM(L4:L25)</f>
        <v>317.4</v>
      </c>
      <c r="M26" s="90"/>
      <c r="N26" s="90"/>
      <c r="O26" s="90"/>
      <c r="P26" s="91">
        <f>SUM(P5:P25)</f>
        <v>16799.811599999997</v>
      </c>
      <c r="Q26" s="91">
        <f>SUM(Q5:Q25)</f>
        <v>14700.2104</v>
      </c>
      <c r="R26" s="91">
        <f>SUM(R5:R25)</f>
        <v>31500.022000000004</v>
      </c>
      <c r="S26" s="90"/>
      <c r="T26" s="90"/>
      <c r="U26" s="91"/>
      <c r="V26" s="90"/>
      <c r="W26" s="90"/>
      <c r="X26" s="90"/>
      <c r="Y26" s="91">
        <f>SUM(Y5:Y25)</f>
        <v>38160.079</v>
      </c>
      <c r="Z26" s="91">
        <f>SUM(Z5:Z25)</f>
        <v>35507.0718</v>
      </c>
      <c r="AA26" s="91">
        <f>SUM(AA5:AA25)</f>
        <v>73667.15079999999</v>
      </c>
      <c r="AB26" s="91"/>
      <c r="AC26" s="91"/>
      <c r="AD26" s="91"/>
      <c r="AE26" s="91">
        <f>SUM(AE5:AE25)</f>
        <v>1521.02264</v>
      </c>
      <c r="AF26" s="91">
        <f>SUM(AF5:AF25)</f>
        <v>1315.3391199999999</v>
      </c>
      <c r="AG26" s="91"/>
      <c r="AH26" s="91">
        <f>SUM(AH4:AH25)</f>
        <v>2836.3617600000007</v>
      </c>
      <c r="AI26" s="115">
        <f aca="true" t="shared" si="22" ref="AI26:AP26">SUM(AI5:AI25)</f>
        <v>299.1424524748202</v>
      </c>
      <c r="AJ26" s="115">
        <f t="shared" si="22"/>
        <v>149.5712262374101</v>
      </c>
      <c r="AK26" s="91">
        <f t="shared" si="22"/>
        <v>1679.98116</v>
      </c>
      <c r="AL26" s="91">
        <f t="shared" si="22"/>
        <v>1470.0210399999999</v>
      </c>
      <c r="AM26" s="91">
        <f t="shared" si="22"/>
        <v>888.72</v>
      </c>
      <c r="AN26" s="91">
        <f t="shared" si="22"/>
        <v>444.36</v>
      </c>
      <c r="AO26" s="91">
        <f t="shared" si="22"/>
        <v>4834.9660329975995</v>
      </c>
      <c r="AP26" s="125">
        <f t="shared" si="22"/>
        <v>2417.4830164987998</v>
      </c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133"/>
    </row>
    <row r="27" spans="1:83" s="85" customFormat="1" ht="22.5" customHeight="1">
      <c r="A27" s="95"/>
      <c r="B27" s="96"/>
      <c r="C27" s="96"/>
      <c r="D27" s="96"/>
      <c r="E27" s="96"/>
      <c r="F27" s="97">
        <f>SUM(E26:F26)</f>
        <v>208685.34860000003</v>
      </c>
      <c r="G27" s="96"/>
      <c r="H27" s="552"/>
      <c r="I27" s="553"/>
      <c r="J27" s="96"/>
      <c r="K27" s="97">
        <f>SUM(J26:K26)</f>
        <v>317.4</v>
      </c>
      <c r="L27" s="96"/>
      <c r="M27" s="107"/>
      <c r="N27" s="107"/>
      <c r="O27" s="107"/>
      <c r="P27" s="107"/>
      <c r="Q27" s="109">
        <f>SUM(P26:Q26)</f>
        <v>31500.021999999997</v>
      </c>
      <c r="R27" s="107"/>
      <c r="S27" s="107"/>
      <c r="T27" s="107"/>
      <c r="U27" s="96"/>
      <c r="V27" s="107"/>
      <c r="W27" s="107"/>
      <c r="X27" s="107"/>
      <c r="Y27" s="107"/>
      <c r="Z27" s="109">
        <f>SUM(Y26:Z26)</f>
        <v>73667.1508</v>
      </c>
      <c r="AA27" s="107"/>
      <c r="AB27" s="96"/>
      <c r="AC27" s="96"/>
      <c r="AD27" s="96"/>
      <c r="AE27" s="107"/>
      <c r="AF27" s="109">
        <f>SUM(AE26:AF26)</f>
        <v>2836.36176</v>
      </c>
      <c r="AG27" s="96"/>
      <c r="AH27" s="96"/>
      <c r="AI27" s="116"/>
      <c r="AJ27" s="117">
        <f>SUM(AI26:AJ26)</f>
        <v>448.71367871223026</v>
      </c>
      <c r="AK27" s="90"/>
      <c r="AL27" s="118">
        <f>SUM(AK26:AL26)</f>
        <v>3150.0022</v>
      </c>
      <c r="AN27" s="118">
        <f>SUM(AM26:AN26)</f>
        <v>1333.08</v>
      </c>
      <c r="AP27" s="128">
        <f>SUM(AO26:AP26)</f>
        <v>7252.449049496399</v>
      </c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133"/>
    </row>
    <row r="28" spans="1:83" s="85" customFormat="1" ht="22.5" customHeight="1">
      <c r="A28" s="554" t="s">
        <v>755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119"/>
      <c r="AJ28" s="119"/>
      <c r="AK28" s="86"/>
      <c r="AL28" s="86"/>
      <c r="AM28" s="86"/>
      <c r="AN28" s="86"/>
      <c r="AO28" s="86"/>
      <c r="AP28" s="129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133"/>
    </row>
    <row r="29" spans="1:83" s="85" customFormat="1" ht="22.5" customHeight="1">
      <c r="A29" s="544" t="s">
        <v>426</v>
      </c>
      <c r="B29" s="545" t="s">
        <v>632</v>
      </c>
      <c r="C29" s="549" t="s">
        <v>713</v>
      </c>
      <c r="D29" s="556"/>
      <c r="E29" s="556" t="s">
        <v>634</v>
      </c>
      <c r="F29" s="550"/>
      <c r="G29" s="545" t="s">
        <v>714</v>
      </c>
      <c r="H29" s="545" t="s">
        <v>715</v>
      </c>
      <c r="I29" s="545"/>
      <c r="J29" s="549" t="s">
        <v>716</v>
      </c>
      <c r="K29" s="550"/>
      <c r="L29" s="545" t="s">
        <v>717</v>
      </c>
      <c r="M29" s="549" t="s">
        <v>718</v>
      </c>
      <c r="N29" s="556"/>
      <c r="O29" s="556"/>
      <c r="P29" s="556" t="s">
        <v>719</v>
      </c>
      <c r="Q29" s="550"/>
      <c r="R29" s="548" t="s">
        <v>720</v>
      </c>
      <c r="S29" s="545" t="s">
        <v>721</v>
      </c>
      <c r="T29" s="545"/>
      <c r="U29" s="545"/>
      <c r="V29" s="545"/>
      <c r="W29" s="545"/>
      <c r="X29" s="545"/>
      <c r="Y29" s="549" t="s">
        <v>637</v>
      </c>
      <c r="Z29" s="550"/>
      <c r="AA29" s="545" t="s">
        <v>722</v>
      </c>
      <c r="AB29" s="542" t="s">
        <v>723</v>
      </c>
      <c r="AC29" s="551"/>
      <c r="AD29" s="551"/>
      <c r="AE29" s="551" t="s">
        <v>724</v>
      </c>
      <c r="AF29" s="551"/>
      <c r="AG29" s="113"/>
      <c r="AH29" s="114"/>
      <c r="AI29" s="535" t="s">
        <v>725</v>
      </c>
      <c r="AJ29" s="535"/>
      <c r="AK29" s="535" t="s">
        <v>176</v>
      </c>
      <c r="AL29" s="535"/>
      <c r="AM29" s="535" t="s">
        <v>177</v>
      </c>
      <c r="AN29" s="535"/>
      <c r="AO29" s="535" t="s">
        <v>89</v>
      </c>
      <c r="AP29" s="54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133"/>
    </row>
    <row r="30" spans="1:83" s="85" customFormat="1" ht="22.5" customHeight="1">
      <c r="A30" s="544"/>
      <c r="B30" s="545"/>
      <c r="C30" s="90" t="s">
        <v>461</v>
      </c>
      <c r="D30" s="90" t="s">
        <v>460</v>
      </c>
      <c r="E30" s="91" t="s">
        <v>461</v>
      </c>
      <c r="F30" s="91" t="s">
        <v>460</v>
      </c>
      <c r="G30" s="545"/>
      <c r="H30" s="545"/>
      <c r="I30" s="545"/>
      <c r="J30" s="90" t="s">
        <v>461</v>
      </c>
      <c r="K30" s="90" t="s">
        <v>460</v>
      </c>
      <c r="L30" s="545"/>
      <c r="M30" s="90" t="s">
        <v>726</v>
      </c>
      <c r="N30" s="90" t="s">
        <v>727</v>
      </c>
      <c r="O30" s="90" t="s">
        <v>460</v>
      </c>
      <c r="P30" s="91" t="s">
        <v>461</v>
      </c>
      <c r="Q30" s="91" t="s">
        <v>460</v>
      </c>
      <c r="R30" s="545"/>
      <c r="S30" s="90" t="s">
        <v>728</v>
      </c>
      <c r="T30" s="90" t="s">
        <v>729</v>
      </c>
      <c r="U30" s="90" t="s">
        <v>730</v>
      </c>
      <c r="V30" s="90" t="s">
        <v>731</v>
      </c>
      <c r="W30" s="90" t="s">
        <v>647</v>
      </c>
      <c r="X30" s="90" t="s">
        <v>648</v>
      </c>
      <c r="Y30" s="91" t="s">
        <v>461</v>
      </c>
      <c r="Z30" s="91" t="s">
        <v>460</v>
      </c>
      <c r="AA30" s="545"/>
      <c r="AB30" s="91" t="s">
        <v>726</v>
      </c>
      <c r="AC30" s="91" t="s">
        <v>727</v>
      </c>
      <c r="AD30" s="91" t="s">
        <v>460</v>
      </c>
      <c r="AE30" s="91" t="s">
        <v>461</v>
      </c>
      <c r="AF30" s="91" t="s">
        <v>460</v>
      </c>
      <c r="AG30" s="91" t="s">
        <v>732</v>
      </c>
      <c r="AH30" s="91" t="s">
        <v>733</v>
      </c>
      <c r="AI30" s="91" t="s">
        <v>461</v>
      </c>
      <c r="AJ30" s="91" t="s">
        <v>460</v>
      </c>
      <c r="AK30" s="91" t="s">
        <v>461</v>
      </c>
      <c r="AL30" s="91" t="s">
        <v>460</v>
      </c>
      <c r="AM30" s="91" t="s">
        <v>461</v>
      </c>
      <c r="AN30" s="91" t="s">
        <v>460</v>
      </c>
      <c r="AO30" s="91" t="s">
        <v>461</v>
      </c>
      <c r="AP30" s="125" t="s">
        <v>460</v>
      </c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133"/>
    </row>
    <row r="31" spans="1:83" s="85" customFormat="1" ht="22.5" customHeight="1">
      <c r="A31" s="98" t="s">
        <v>681</v>
      </c>
      <c r="B31" s="99">
        <v>0</v>
      </c>
      <c r="C31" s="99">
        <v>12.284878</v>
      </c>
      <c r="D31" s="99">
        <v>12.110759</v>
      </c>
      <c r="E31" s="91">
        <f>(C31+C28)/2*B31</f>
        <v>0</v>
      </c>
      <c r="F31" s="91">
        <f>(D31+D28)/2*B31</f>
        <v>0</v>
      </c>
      <c r="G31" s="99">
        <v>0</v>
      </c>
      <c r="H31" s="547">
        <v>0.1</v>
      </c>
      <c r="I31" s="547"/>
      <c r="J31" s="99"/>
      <c r="K31" s="99"/>
      <c r="L31" s="99">
        <v>0</v>
      </c>
      <c r="M31" s="99">
        <v>0</v>
      </c>
      <c r="N31" s="99">
        <v>5.95766</v>
      </c>
      <c r="O31" s="99">
        <v>5.95766</v>
      </c>
      <c r="P31" s="90">
        <f>(M31+M28+N31+N28)/2*B31</f>
        <v>0</v>
      </c>
      <c r="Q31" s="90">
        <f>(O31+O28)/2*B31</f>
        <v>0</v>
      </c>
      <c r="R31" s="99">
        <v>0</v>
      </c>
      <c r="S31" s="99">
        <v>0</v>
      </c>
      <c r="T31" s="99">
        <v>0</v>
      </c>
      <c r="U31" s="99">
        <v>11.201989</v>
      </c>
      <c r="V31" s="99">
        <v>2</v>
      </c>
      <c r="W31" s="99">
        <v>2</v>
      </c>
      <c r="X31" s="110">
        <v>13.170353</v>
      </c>
      <c r="Y31" s="90">
        <f>SUM(S31+S28+T31+T28+U31+U28+V31+V28)/2*B31</f>
        <v>0</v>
      </c>
      <c r="Z31" s="90">
        <f>(W28+W31+X28+X31)/2*B31</f>
        <v>0</v>
      </c>
      <c r="AA31" s="110"/>
      <c r="AB31" s="99">
        <v>0</v>
      </c>
      <c r="AC31" s="99">
        <v>1.28404</v>
      </c>
      <c r="AD31" s="99">
        <v>1.28404</v>
      </c>
      <c r="AE31" s="91">
        <f>(AB31+AB28+AC31+AC28)/2*B31/5</f>
        <v>0</v>
      </c>
      <c r="AF31" s="91">
        <f>(AD31+AD28)/2*B31/5</f>
        <v>0</v>
      </c>
      <c r="AG31" s="99">
        <f>AD31+AC31</f>
        <v>2.56808</v>
      </c>
      <c r="AH31" s="120">
        <v>0</v>
      </c>
      <c r="AI31" s="115"/>
      <c r="AJ31" s="115"/>
      <c r="AP31" s="12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133"/>
    </row>
    <row r="32" spans="1:83" s="85" customFormat="1" ht="22.5" customHeight="1">
      <c r="A32" s="92" t="s">
        <v>756</v>
      </c>
      <c r="B32" s="91">
        <v>90</v>
      </c>
      <c r="C32" s="91">
        <v>17.746681</v>
      </c>
      <c r="D32" s="91">
        <v>24.594941</v>
      </c>
      <c r="E32" s="91">
        <f aca="true" t="shared" si="23" ref="E32:E37">(C32+C31)/2*B32</f>
        <v>1351.420155</v>
      </c>
      <c r="F32" s="91">
        <f aca="true" t="shared" si="24" ref="F32:F37">(D32+D31)/2*B32</f>
        <v>1651.7565</v>
      </c>
      <c r="G32" s="91">
        <f aca="true" t="shared" si="25" ref="G32:G37">(D32+D31+C32+C31)/2*B32</f>
        <v>3003.176655</v>
      </c>
      <c r="H32" s="535">
        <v>0.1</v>
      </c>
      <c r="I32" s="535"/>
      <c r="J32" s="91">
        <f aca="true" t="shared" si="26" ref="J32:J37">0.1*0.5*1*B32</f>
        <v>4.5</v>
      </c>
      <c r="K32" s="91">
        <f aca="true" t="shared" si="27" ref="K32:K37">0.1*0.5*1*B32</f>
        <v>4.5</v>
      </c>
      <c r="L32" s="91">
        <f aca="true" t="shared" si="28" ref="L32:L37">H32*B32</f>
        <v>9</v>
      </c>
      <c r="M32" s="91">
        <v>0</v>
      </c>
      <c r="N32" s="91">
        <v>6.68018</v>
      </c>
      <c r="O32" s="91">
        <v>6.68018</v>
      </c>
      <c r="P32" s="90">
        <f aca="true" t="shared" si="29" ref="P32:P37">(M32+M31+N32+N31)/2*B32</f>
        <v>568.7028</v>
      </c>
      <c r="Q32" s="90">
        <f aca="true" t="shared" si="30" ref="Q32:Q37">(O32+O31)/2*B32</f>
        <v>568.7028</v>
      </c>
      <c r="R32" s="91">
        <f aca="true" t="shared" si="31" ref="R32:R37">(O32+O31+N32+N31)/2*B32</f>
        <v>1137.4056</v>
      </c>
      <c r="S32" s="91">
        <v>0</v>
      </c>
      <c r="T32" s="91">
        <v>0</v>
      </c>
      <c r="U32" s="91">
        <v>13.063054</v>
      </c>
      <c r="V32" s="91">
        <v>2</v>
      </c>
      <c r="W32" s="91">
        <v>2</v>
      </c>
      <c r="X32" s="85">
        <v>13.400278</v>
      </c>
      <c r="Y32" s="90">
        <f aca="true" t="shared" si="32" ref="Y32:Y37">SUM(S32+S31+T32+T31+U32+U31+V32+V31)/2*B32</f>
        <v>1271.926935</v>
      </c>
      <c r="Z32" s="90">
        <f aca="true" t="shared" si="33" ref="Z32:Z37">(W31+W32+X31+X32)/2*B32</f>
        <v>1375.678395</v>
      </c>
      <c r="AA32" s="91">
        <f aca="true" t="shared" si="34" ref="AA32:AA37">(X32+X31+W32+W31+V31+V32+U32+U31)/2*B32</f>
        <v>2647.60533</v>
      </c>
      <c r="AB32" s="91">
        <v>0</v>
      </c>
      <c r="AC32" s="91">
        <v>1.49504</v>
      </c>
      <c r="AD32" s="91">
        <v>1.49504</v>
      </c>
      <c r="AE32" s="91">
        <f aca="true" t="shared" si="35" ref="AE32:AE37">(AB32+AB31+AC32+AC31)/2*B32/2.5</f>
        <v>50.02344</v>
      </c>
      <c r="AF32" s="91">
        <f aca="true" t="shared" si="36" ref="AF32:AF37">(AD32+AD31)/2*B32/2.5</f>
        <v>50.02344</v>
      </c>
      <c r="AG32" s="91">
        <f aca="true" t="shared" si="37" ref="AG32:AG37">AD32+AC32</f>
        <v>2.99008</v>
      </c>
      <c r="AH32" s="94">
        <f aca="true" t="shared" si="38" ref="AH32:AH37">(AG32+AG31)/2*B32/5</f>
        <v>50.02344</v>
      </c>
      <c r="AI32" s="115">
        <f aca="true" t="shared" si="39" ref="AI32:AI37">PI()*0.15^2*B32</f>
        <v>6.3617251235193315</v>
      </c>
      <c r="AJ32" s="115">
        <f aca="true" t="shared" si="40" ref="AJ32:AJ37">PI()*0.15^2*B32</f>
        <v>6.3617251235193315</v>
      </c>
      <c r="AK32" s="115">
        <f aca="true" t="shared" si="41" ref="AK32:AL37">P32/10</f>
        <v>56.87028</v>
      </c>
      <c r="AL32" s="115">
        <f t="shared" si="41"/>
        <v>56.87028</v>
      </c>
      <c r="AM32" s="85">
        <f aca="true" t="shared" si="42" ref="AM32:AM37">(0.5*0.1*2+0.1*10*2)*B32/10</f>
        <v>18.9</v>
      </c>
      <c r="AN32" s="85">
        <f aca="true" t="shared" si="43" ref="AN32:AN37">(0.5*0.1*2+0.1*10*2)*B32/10</f>
        <v>18.9</v>
      </c>
      <c r="AO32" s="130">
        <f aca="true" t="shared" si="44" ref="AO32:AO37">(2*PI()*0.15+0.2)*B32</f>
        <v>102.82300164692441</v>
      </c>
      <c r="AP32" s="131">
        <f aca="true" t="shared" si="45" ref="AP32:AP37">(2*PI()*0.15+0.2)*B32</f>
        <v>102.82300164692441</v>
      </c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133"/>
    </row>
    <row r="33" spans="1:83" s="85" customFormat="1" ht="22.5" customHeight="1">
      <c r="A33" s="92" t="s">
        <v>757</v>
      </c>
      <c r="B33" s="91">
        <v>63</v>
      </c>
      <c r="C33" s="91">
        <v>30.174659</v>
      </c>
      <c r="D33" s="91">
        <v>21.254679</v>
      </c>
      <c r="E33" s="91">
        <f t="shared" si="23"/>
        <v>1509.52221</v>
      </c>
      <c r="F33" s="91">
        <f t="shared" si="24"/>
        <v>1444.26303</v>
      </c>
      <c r="G33" s="91">
        <f t="shared" si="25"/>
        <v>2953.78524</v>
      </c>
      <c r="H33" s="535">
        <v>0.1</v>
      </c>
      <c r="I33" s="535"/>
      <c r="J33" s="91">
        <f t="shared" si="26"/>
        <v>3.1500000000000004</v>
      </c>
      <c r="K33" s="91">
        <f t="shared" si="27"/>
        <v>3.1500000000000004</v>
      </c>
      <c r="L33" s="91">
        <f t="shared" si="28"/>
        <v>6.300000000000001</v>
      </c>
      <c r="M33" s="91">
        <v>0</v>
      </c>
      <c r="N33" s="91">
        <v>7.66956</v>
      </c>
      <c r="O33" s="91">
        <v>7.66956</v>
      </c>
      <c r="P33" s="90">
        <f t="shared" si="29"/>
        <v>452.01681</v>
      </c>
      <c r="Q33" s="90">
        <f t="shared" si="30"/>
        <v>452.01681</v>
      </c>
      <c r="R33" s="91">
        <f t="shared" si="31"/>
        <v>904.03362</v>
      </c>
      <c r="S33" s="91">
        <v>0</v>
      </c>
      <c r="T33" s="91">
        <v>0</v>
      </c>
      <c r="U33" s="91">
        <v>15.431449</v>
      </c>
      <c r="V33" s="91">
        <v>2</v>
      </c>
      <c r="W33" s="91">
        <v>2</v>
      </c>
      <c r="X33" s="85">
        <v>15.595963</v>
      </c>
      <c r="Y33" s="90">
        <f t="shared" si="32"/>
        <v>1023.5768445000001</v>
      </c>
      <c r="Z33" s="90">
        <f t="shared" si="33"/>
        <v>1039.3815915</v>
      </c>
      <c r="AA33" s="91">
        <f t="shared" si="34"/>
        <v>2062.958436</v>
      </c>
      <c r="AB33" s="91">
        <v>0</v>
      </c>
      <c r="AC33" s="91">
        <v>1.74803</v>
      </c>
      <c r="AD33" s="91">
        <v>1.74803</v>
      </c>
      <c r="AE33" s="91">
        <f t="shared" si="35"/>
        <v>40.862682</v>
      </c>
      <c r="AF33" s="91">
        <f t="shared" si="36"/>
        <v>40.862682</v>
      </c>
      <c r="AG33" s="91">
        <f t="shared" si="37"/>
        <v>3.49606</v>
      </c>
      <c r="AH33" s="94">
        <f t="shared" si="38"/>
        <v>40.862682</v>
      </c>
      <c r="AI33" s="115">
        <f t="shared" si="39"/>
        <v>4.453207586463532</v>
      </c>
      <c r="AJ33" s="115">
        <f t="shared" si="40"/>
        <v>4.453207586463532</v>
      </c>
      <c r="AK33" s="115">
        <f t="shared" si="41"/>
        <v>45.201681</v>
      </c>
      <c r="AL33" s="115">
        <f t="shared" si="41"/>
        <v>45.201681</v>
      </c>
      <c r="AM33" s="85">
        <f t="shared" si="42"/>
        <v>13.23</v>
      </c>
      <c r="AN33" s="85">
        <f t="shared" si="43"/>
        <v>13.23</v>
      </c>
      <c r="AO33" s="130">
        <f t="shared" si="44"/>
        <v>71.9761011528471</v>
      </c>
      <c r="AP33" s="131">
        <f t="shared" si="45"/>
        <v>71.9761011528471</v>
      </c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133"/>
    </row>
    <row r="34" spans="1:83" s="85" customFormat="1" ht="22.5" customHeight="1">
      <c r="A34" s="92" t="s">
        <v>758</v>
      </c>
      <c r="B34" s="91">
        <v>86</v>
      </c>
      <c r="C34" s="91">
        <v>23.796389</v>
      </c>
      <c r="D34" s="91">
        <v>15.115868</v>
      </c>
      <c r="E34" s="91">
        <f t="shared" si="23"/>
        <v>2320.755064</v>
      </c>
      <c r="F34" s="91">
        <f t="shared" si="24"/>
        <v>1563.9335210000002</v>
      </c>
      <c r="G34" s="91">
        <f t="shared" si="25"/>
        <v>3884.6885850000003</v>
      </c>
      <c r="H34" s="535">
        <v>0.1</v>
      </c>
      <c r="I34" s="535"/>
      <c r="J34" s="91">
        <f t="shared" si="26"/>
        <v>4.3</v>
      </c>
      <c r="K34" s="91">
        <f t="shared" si="27"/>
        <v>4.3</v>
      </c>
      <c r="L34" s="91">
        <f t="shared" si="28"/>
        <v>8.6</v>
      </c>
      <c r="M34" s="91">
        <v>0</v>
      </c>
      <c r="N34" s="91">
        <v>7.1181</v>
      </c>
      <c r="O34" s="91">
        <v>7.1181</v>
      </c>
      <c r="P34" s="90">
        <f t="shared" si="29"/>
        <v>635.86938</v>
      </c>
      <c r="Q34" s="90">
        <f t="shared" si="30"/>
        <v>635.86938</v>
      </c>
      <c r="R34" s="91">
        <f t="shared" si="31"/>
        <v>1271.73876</v>
      </c>
      <c r="S34" s="91">
        <v>0</v>
      </c>
      <c r="T34" s="91">
        <v>0</v>
      </c>
      <c r="U34" s="91">
        <v>16.791386</v>
      </c>
      <c r="V34" s="91">
        <v>2</v>
      </c>
      <c r="W34" s="91">
        <v>2</v>
      </c>
      <c r="X34" s="85">
        <v>14.368776</v>
      </c>
      <c r="Y34" s="90">
        <f t="shared" si="32"/>
        <v>1557.5819050000002</v>
      </c>
      <c r="Z34" s="90">
        <f t="shared" si="33"/>
        <v>1460.4837769999997</v>
      </c>
      <c r="AA34" s="91">
        <f t="shared" si="34"/>
        <v>3018.065682</v>
      </c>
      <c r="AB34" s="91">
        <v>0</v>
      </c>
      <c r="AC34" s="91">
        <v>1.61128</v>
      </c>
      <c r="AD34" s="91">
        <v>1.61128</v>
      </c>
      <c r="AE34" s="91">
        <f t="shared" si="35"/>
        <v>57.780131999999995</v>
      </c>
      <c r="AF34" s="91">
        <f t="shared" si="36"/>
        <v>57.780131999999995</v>
      </c>
      <c r="AG34" s="91">
        <f t="shared" si="37"/>
        <v>3.22256</v>
      </c>
      <c r="AH34" s="94">
        <f t="shared" si="38"/>
        <v>57.780131999999995</v>
      </c>
      <c r="AI34" s="115">
        <f t="shared" si="39"/>
        <v>6.07898178469625</v>
      </c>
      <c r="AJ34" s="115">
        <f t="shared" si="40"/>
        <v>6.07898178469625</v>
      </c>
      <c r="AK34" s="115">
        <f t="shared" si="41"/>
        <v>63.586937999999996</v>
      </c>
      <c r="AL34" s="115">
        <f t="shared" si="41"/>
        <v>63.586937999999996</v>
      </c>
      <c r="AM34" s="85">
        <f t="shared" si="42"/>
        <v>18.06</v>
      </c>
      <c r="AN34" s="85">
        <f t="shared" si="43"/>
        <v>18.06</v>
      </c>
      <c r="AO34" s="130">
        <f t="shared" si="44"/>
        <v>98.25309046261665</v>
      </c>
      <c r="AP34" s="131">
        <f t="shared" si="45"/>
        <v>98.25309046261665</v>
      </c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133"/>
    </row>
    <row r="35" spans="1:83" s="85" customFormat="1" ht="22.5" customHeight="1">
      <c r="A35" s="92" t="s">
        <v>759</v>
      </c>
      <c r="B35" s="91">
        <v>106</v>
      </c>
      <c r="C35" s="91">
        <v>23.555738</v>
      </c>
      <c r="D35" s="91">
        <v>18.637526</v>
      </c>
      <c r="E35" s="91">
        <f t="shared" si="23"/>
        <v>2509.6627310000003</v>
      </c>
      <c r="F35" s="91">
        <f t="shared" si="24"/>
        <v>1788.929882</v>
      </c>
      <c r="G35" s="91">
        <f t="shared" si="25"/>
        <v>4298.592613000001</v>
      </c>
      <c r="H35" s="535">
        <v>0.1</v>
      </c>
      <c r="I35" s="535"/>
      <c r="J35" s="91">
        <f t="shared" si="26"/>
        <v>5.300000000000001</v>
      </c>
      <c r="K35" s="91">
        <f t="shared" si="27"/>
        <v>5.300000000000001</v>
      </c>
      <c r="L35" s="91">
        <f t="shared" si="28"/>
        <v>10.600000000000001</v>
      </c>
      <c r="M35" s="91">
        <v>0</v>
      </c>
      <c r="N35" s="91">
        <v>6.354282</v>
      </c>
      <c r="O35" s="91">
        <v>6.354282</v>
      </c>
      <c r="P35" s="90">
        <f t="shared" si="29"/>
        <v>714.036246</v>
      </c>
      <c r="Q35" s="90">
        <f t="shared" si="30"/>
        <v>714.036246</v>
      </c>
      <c r="R35" s="91">
        <f t="shared" si="31"/>
        <v>1428.072492</v>
      </c>
      <c r="S35" s="91">
        <v>0</v>
      </c>
      <c r="T35" s="91">
        <v>0</v>
      </c>
      <c r="U35" s="91">
        <v>13.517561</v>
      </c>
      <c r="V35" s="91">
        <v>2</v>
      </c>
      <c r="W35" s="91">
        <v>2</v>
      </c>
      <c r="X35" s="85">
        <v>13.082919</v>
      </c>
      <c r="Y35" s="90">
        <f t="shared" si="32"/>
        <v>1818.374191</v>
      </c>
      <c r="Z35" s="90">
        <f t="shared" si="33"/>
        <v>1666.9398350000001</v>
      </c>
      <c r="AA35" s="91">
        <f t="shared" si="34"/>
        <v>3485.314026</v>
      </c>
      <c r="AB35" s="91">
        <v>0</v>
      </c>
      <c r="AC35" s="91">
        <v>1.40321</v>
      </c>
      <c r="AD35" s="91">
        <v>1.40321</v>
      </c>
      <c r="AE35" s="91">
        <f t="shared" si="35"/>
        <v>63.907188000000005</v>
      </c>
      <c r="AF35" s="91">
        <f t="shared" si="36"/>
        <v>63.907188000000005</v>
      </c>
      <c r="AG35" s="91">
        <f t="shared" si="37"/>
        <v>2.80642</v>
      </c>
      <c r="AH35" s="94">
        <f t="shared" si="38"/>
        <v>63.907188000000005</v>
      </c>
      <c r="AI35" s="115">
        <f t="shared" si="39"/>
        <v>7.492698478811657</v>
      </c>
      <c r="AJ35" s="115">
        <f t="shared" si="40"/>
        <v>7.492698478811657</v>
      </c>
      <c r="AK35" s="115">
        <f t="shared" si="41"/>
        <v>71.4036246</v>
      </c>
      <c r="AL35" s="115">
        <f t="shared" si="41"/>
        <v>71.4036246</v>
      </c>
      <c r="AM35" s="85">
        <f t="shared" si="42"/>
        <v>22.26</v>
      </c>
      <c r="AN35" s="85">
        <f t="shared" si="43"/>
        <v>22.26</v>
      </c>
      <c r="AO35" s="130">
        <f t="shared" si="44"/>
        <v>121.10264638415542</v>
      </c>
      <c r="AP35" s="131">
        <f t="shared" si="45"/>
        <v>121.10264638415542</v>
      </c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133"/>
    </row>
    <row r="36" spans="1:83" s="85" customFormat="1" ht="22.5" customHeight="1">
      <c r="A36" s="92" t="s">
        <v>760</v>
      </c>
      <c r="B36" s="91">
        <v>58</v>
      </c>
      <c r="C36" s="91">
        <v>79.186123</v>
      </c>
      <c r="D36" s="91">
        <v>13.425493</v>
      </c>
      <c r="E36" s="91">
        <f t="shared" si="23"/>
        <v>2979.513969</v>
      </c>
      <c r="F36" s="91">
        <f t="shared" si="24"/>
        <v>929.8275509999999</v>
      </c>
      <c r="G36" s="91">
        <f t="shared" si="25"/>
        <v>3909.34152</v>
      </c>
      <c r="H36" s="535">
        <v>0.1</v>
      </c>
      <c r="I36" s="535"/>
      <c r="J36" s="91">
        <f t="shared" si="26"/>
        <v>2.9000000000000004</v>
      </c>
      <c r="K36" s="91">
        <f t="shared" si="27"/>
        <v>2.9000000000000004</v>
      </c>
      <c r="L36" s="91">
        <f t="shared" si="28"/>
        <v>5.800000000000001</v>
      </c>
      <c r="M36" s="91">
        <v>0</v>
      </c>
      <c r="N36" s="91">
        <v>7.1964</v>
      </c>
      <c r="O36" s="91">
        <v>7.196348</v>
      </c>
      <c r="P36" s="90">
        <f t="shared" si="29"/>
        <v>392.969778</v>
      </c>
      <c r="Q36" s="90">
        <f t="shared" si="30"/>
        <v>392.9682700000001</v>
      </c>
      <c r="R36" s="91">
        <f t="shared" si="31"/>
        <v>785.9380480000001</v>
      </c>
      <c r="S36" s="91">
        <v>0</v>
      </c>
      <c r="T36" s="91">
        <v>0</v>
      </c>
      <c r="U36" s="91">
        <v>16.1384</v>
      </c>
      <c r="V36" s="91">
        <v>2</v>
      </c>
      <c r="W36" s="91">
        <v>2</v>
      </c>
      <c r="X36" s="85">
        <v>14.660352</v>
      </c>
      <c r="Y36" s="90">
        <f t="shared" si="32"/>
        <v>976.0228690000001</v>
      </c>
      <c r="Z36" s="90">
        <f t="shared" si="33"/>
        <v>920.554859</v>
      </c>
      <c r="AA36" s="91">
        <f t="shared" si="34"/>
        <v>1896.577728</v>
      </c>
      <c r="AB36" s="91">
        <v>0</v>
      </c>
      <c r="AC36" s="91">
        <v>1.6313</v>
      </c>
      <c r="AD36" s="91">
        <v>1.6313</v>
      </c>
      <c r="AE36" s="91">
        <f t="shared" si="35"/>
        <v>35.200316</v>
      </c>
      <c r="AF36" s="91">
        <f t="shared" si="36"/>
        <v>35.200316</v>
      </c>
      <c r="AG36" s="91">
        <f t="shared" si="37"/>
        <v>3.2626</v>
      </c>
      <c r="AH36" s="94">
        <f t="shared" si="38"/>
        <v>35.200316</v>
      </c>
      <c r="AI36" s="115">
        <f t="shared" si="39"/>
        <v>4.09977841293468</v>
      </c>
      <c r="AJ36" s="115">
        <f t="shared" si="40"/>
        <v>4.09977841293468</v>
      </c>
      <c r="AK36" s="115">
        <f t="shared" si="41"/>
        <v>39.2969778</v>
      </c>
      <c r="AL36" s="115">
        <f t="shared" si="41"/>
        <v>39.29682700000001</v>
      </c>
      <c r="AM36" s="85">
        <f t="shared" si="42"/>
        <v>12.180000000000001</v>
      </c>
      <c r="AN36" s="85">
        <f t="shared" si="43"/>
        <v>12.180000000000001</v>
      </c>
      <c r="AO36" s="130">
        <f t="shared" si="44"/>
        <v>66.26371217246239</v>
      </c>
      <c r="AP36" s="131">
        <f t="shared" si="45"/>
        <v>66.26371217246239</v>
      </c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133"/>
    </row>
    <row r="37" spans="1:83" s="85" customFormat="1" ht="22.5" customHeight="1">
      <c r="A37" s="92" t="s">
        <v>683</v>
      </c>
      <c r="B37" s="91">
        <v>139</v>
      </c>
      <c r="C37" s="91">
        <v>26.850509</v>
      </c>
      <c r="D37" s="91">
        <v>19.336552</v>
      </c>
      <c r="E37" s="91">
        <f t="shared" si="23"/>
        <v>7369.545924</v>
      </c>
      <c r="F37" s="91">
        <f t="shared" si="24"/>
        <v>2276.9621275</v>
      </c>
      <c r="G37" s="91">
        <f t="shared" si="25"/>
        <v>9646.508051499999</v>
      </c>
      <c r="H37" s="535">
        <v>0.1</v>
      </c>
      <c r="I37" s="535"/>
      <c r="J37" s="91">
        <f t="shared" si="26"/>
        <v>6.95</v>
      </c>
      <c r="K37" s="91">
        <f t="shared" si="27"/>
        <v>6.95</v>
      </c>
      <c r="L37" s="91">
        <f t="shared" si="28"/>
        <v>13.9</v>
      </c>
      <c r="M37" s="91">
        <v>0</v>
      </c>
      <c r="N37" s="91">
        <v>7.240692</v>
      </c>
      <c r="O37" s="91">
        <v>7.240692</v>
      </c>
      <c r="P37" s="90">
        <f t="shared" si="29"/>
        <v>1003.377894</v>
      </c>
      <c r="Q37" s="90">
        <f t="shared" si="30"/>
        <v>1003.37428</v>
      </c>
      <c r="R37" s="91">
        <f t="shared" si="31"/>
        <v>2006.752174</v>
      </c>
      <c r="S37" s="91">
        <v>0</v>
      </c>
      <c r="T37" s="91">
        <v>0</v>
      </c>
      <c r="U37" s="91">
        <v>17.340562</v>
      </c>
      <c r="V37" s="91">
        <v>2</v>
      </c>
      <c r="W37" s="91">
        <v>2</v>
      </c>
      <c r="X37" s="85">
        <v>16.230419</v>
      </c>
      <c r="Y37" s="90">
        <f t="shared" si="32"/>
        <v>2604.7878589999996</v>
      </c>
      <c r="Z37" s="90">
        <f t="shared" si="33"/>
        <v>2424.9085845</v>
      </c>
      <c r="AA37" s="91">
        <f t="shared" si="34"/>
        <v>5029.6964435</v>
      </c>
      <c r="AB37" s="91">
        <v>0</v>
      </c>
      <c r="AC37" s="91">
        <v>1.64254</v>
      </c>
      <c r="AD37" s="91">
        <v>1.64254</v>
      </c>
      <c r="AE37" s="91">
        <f t="shared" si="35"/>
        <v>91.012752</v>
      </c>
      <c r="AF37" s="91">
        <f t="shared" si="36"/>
        <v>91.012752</v>
      </c>
      <c r="AG37" s="91">
        <f t="shared" si="37"/>
        <v>3.28508</v>
      </c>
      <c r="AH37" s="94">
        <f t="shared" si="38"/>
        <v>91.012752</v>
      </c>
      <c r="AI37" s="115">
        <f t="shared" si="39"/>
        <v>9.825331024102079</v>
      </c>
      <c r="AJ37" s="115">
        <f t="shared" si="40"/>
        <v>9.825331024102079</v>
      </c>
      <c r="AK37" s="115">
        <f t="shared" si="41"/>
        <v>100.33778939999999</v>
      </c>
      <c r="AL37" s="115">
        <f t="shared" si="41"/>
        <v>100.337428</v>
      </c>
      <c r="AM37" s="85">
        <f t="shared" si="42"/>
        <v>29.190000000000005</v>
      </c>
      <c r="AN37" s="85">
        <f t="shared" si="43"/>
        <v>29.190000000000005</v>
      </c>
      <c r="AO37" s="130">
        <f t="shared" si="44"/>
        <v>158.80441365469437</v>
      </c>
      <c r="AP37" s="131">
        <f t="shared" si="45"/>
        <v>158.80441365469437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133"/>
    </row>
    <row r="38" spans="1:42" s="86" customFormat="1" ht="22.5" customHeight="1">
      <c r="A38" s="92" t="s">
        <v>128</v>
      </c>
      <c r="B38" s="91">
        <f>SUM(B31:B37)</f>
        <v>542</v>
      </c>
      <c r="C38" s="91"/>
      <c r="D38" s="91"/>
      <c r="E38" s="91">
        <f>SUM(E31:E37)</f>
        <v>18040.420053</v>
      </c>
      <c r="F38" s="91">
        <f>SUM(F31:F37)</f>
        <v>9655.672611500002</v>
      </c>
      <c r="G38" s="91">
        <f>SUM(G31:G37)</f>
        <v>27696.0926645</v>
      </c>
      <c r="H38" s="542"/>
      <c r="I38" s="543"/>
      <c r="J38" s="91">
        <f>SUM(J31:J37)</f>
        <v>27.099999999999998</v>
      </c>
      <c r="K38" s="91">
        <f>SUM(K31:K37)</f>
        <v>27.099999999999998</v>
      </c>
      <c r="L38" s="91">
        <f>SUM(L31:L37)</f>
        <v>54.199999999999996</v>
      </c>
      <c r="M38" s="91"/>
      <c r="N38" s="91"/>
      <c r="O38" s="91"/>
      <c r="P38" s="91">
        <f>SUM(P31:P37)</f>
        <v>3766.9729080000006</v>
      </c>
      <c r="Q38" s="91">
        <f>SUM(Q31:Q37)</f>
        <v>3766.967786</v>
      </c>
      <c r="R38" s="91">
        <f>SUM(R31:R37)</f>
        <v>7533.940694000001</v>
      </c>
      <c r="S38" s="91"/>
      <c r="T38" s="91"/>
      <c r="U38" s="91"/>
      <c r="V38" s="91"/>
      <c r="W38" s="91"/>
      <c r="X38" s="85"/>
      <c r="Y38" s="91">
        <f>SUM(Y31:Y37)</f>
        <v>9252.2706035</v>
      </c>
      <c r="Z38" s="91">
        <f>SUM(Z31:Z37)</f>
        <v>8887.947042</v>
      </c>
      <c r="AA38" s="91">
        <f>SUM(AA31:AA37)</f>
        <v>18140.2176455</v>
      </c>
      <c r="AB38" s="91"/>
      <c r="AC38" s="91"/>
      <c r="AD38" s="91"/>
      <c r="AE38" s="91">
        <f>SUM(AE31:AE37)</f>
        <v>338.78651</v>
      </c>
      <c r="AF38" s="91">
        <f>SUM(AF31:AF37)</f>
        <v>338.78651</v>
      </c>
      <c r="AG38" s="91"/>
      <c r="AH38" s="94">
        <f>SUM(AH31:AH37)</f>
        <v>338.78651</v>
      </c>
      <c r="AI38" s="115">
        <f>SUM(AI31:AI37)</f>
        <v>38.31172241052753</v>
      </c>
      <c r="AJ38" s="115">
        <f>SUM(AJ31:AJ37)</f>
        <v>38.31172241052753</v>
      </c>
      <c r="AK38" s="115">
        <f aca="true" t="shared" si="46" ref="AK38:AP38">SUM(AK32:AK37)</f>
        <v>376.6972908</v>
      </c>
      <c r="AL38" s="115">
        <f t="shared" si="46"/>
        <v>376.69677859999996</v>
      </c>
      <c r="AM38" s="115">
        <f t="shared" si="46"/>
        <v>113.82000000000002</v>
      </c>
      <c r="AN38" s="115">
        <f t="shared" si="46"/>
        <v>113.82000000000002</v>
      </c>
      <c r="AO38" s="115">
        <f t="shared" si="46"/>
        <v>619.2229654737004</v>
      </c>
      <c r="AP38" s="127">
        <f t="shared" si="46"/>
        <v>619.2229654737004</v>
      </c>
    </row>
    <row r="39" spans="1:42" ht="22.5" customHeight="1">
      <c r="A39" s="100">
        <f>4022-3480</f>
        <v>542</v>
      </c>
      <c r="B39" s="101">
        <f>B26+B38</f>
        <v>2658</v>
      </c>
      <c r="C39" s="102"/>
      <c r="D39" s="102"/>
      <c r="E39" s="102"/>
      <c r="F39" s="103">
        <f>SUM(E38:F38)</f>
        <v>27696.092664500004</v>
      </c>
      <c r="G39" s="101"/>
      <c r="H39" s="102"/>
      <c r="I39" s="102"/>
      <c r="J39" s="102"/>
      <c r="K39" s="103">
        <f>SUM(J38:K38)</f>
        <v>54.199999999999996</v>
      </c>
      <c r="L39" s="108">
        <f>SUM(L4:L37)</f>
        <v>688.9999999999999</v>
      </c>
      <c r="M39" s="102"/>
      <c r="N39" s="102"/>
      <c r="O39" s="102"/>
      <c r="P39" s="102"/>
      <c r="Q39" s="103">
        <f>SUM(P38:Q38)</f>
        <v>7533.940694000001</v>
      </c>
      <c r="R39" s="108"/>
      <c r="S39" s="102"/>
      <c r="T39" s="102"/>
      <c r="U39" s="102"/>
      <c r="V39" s="102"/>
      <c r="W39" s="102"/>
      <c r="X39" s="102"/>
      <c r="Y39" s="102"/>
      <c r="Z39" s="103">
        <f>SUM(Y38:Z38)</f>
        <v>18140.2176455</v>
      </c>
      <c r="AA39" s="101"/>
      <c r="AB39" s="102"/>
      <c r="AC39" s="102"/>
      <c r="AD39" s="102"/>
      <c r="AE39" s="102"/>
      <c r="AF39" s="103">
        <f>SUM(AE38:AF38)</f>
        <v>677.57302</v>
      </c>
      <c r="AG39" s="101"/>
      <c r="AH39" s="101"/>
      <c r="AI39" s="121"/>
      <c r="AJ39" s="122">
        <f>SUM(AI38:AJ38)</f>
        <v>76.62344482105506</v>
      </c>
      <c r="AK39" s="123"/>
      <c r="AL39" s="123">
        <f>SUM(AK38:AL38)</f>
        <v>753.3940694</v>
      </c>
      <c r="AM39" s="121"/>
      <c r="AN39" s="123">
        <f>SUM(AM38:AN38)</f>
        <v>227.64000000000004</v>
      </c>
      <c r="AO39" s="121"/>
      <c r="AP39" s="132">
        <f>SUM(AO38:AP38)</f>
        <v>1238.4459309474007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</sheetData>
  <sheetProtection/>
  <mergeCells count="74">
    <mergeCell ref="A1:AH1"/>
    <mergeCell ref="C2:D2"/>
    <mergeCell ref="E2:F2"/>
    <mergeCell ref="J2:K2"/>
    <mergeCell ref="M2:O2"/>
    <mergeCell ref="P2:Q2"/>
    <mergeCell ref="S2:X2"/>
    <mergeCell ref="Y2:Z2"/>
    <mergeCell ref="AB2:AD2"/>
    <mergeCell ref="AE2:AF2"/>
    <mergeCell ref="AI2:AJ2"/>
    <mergeCell ref="AK2:AL2"/>
    <mergeCell ref="AM2:AN2"/>
    <mergeCell ref="AO2:AP2"/>
    <mergeCell ref="H4:I4"/>
    <mergeCell ref="H5:I5"/>
    <mergeCell ref="L2:L3"/>
    <mergeCell ref="R2:R3"/>
    <mergeCell ref="AA2:AA3"/>
    <mergeCell ref="H2:I3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A28:AH28"/>
    <mergeCell ref="C29:D29"/>
    <mergeCell ref="E29:F29"/>
    <mergeCell ref="J29:K29"/>
    <mergeCell ref="M29:O29"/>
    <mergeCell ref="P29:Q29"/>
    <mergeCell ref="S29:X29"/>
    <mergeCell ref="Y29:Z29"/>
    <mergeCell ref="AB29:AD29"/>
    <mergeCell ref="AE29:AF29"/>
    <mergeCell ref="AI29:AJ29"/>
    <mergeCell ref="AK29:AL29"/>
    <mergeCell ref="AM29:AN29"/>
    <mergeCell ref="AO29:AP29"/>
    <mergeCell ref="H31:I31"/>
    <mergeCell ref="H32:I32"/>
    <mergeCell ref="H33:I33"/>
    <mergeCell ref="H34:I34"/>
    <mergeCell ref="L29:L30"/>
    <mergeCell ref="R29:R30"/>
    <mergeCell ref="AA29:AA30"/>
    <mergeCell ref="H29:I30"/>
    <mergeCell ref="H35:I35"/>
    <mergeCell ref="H36:I36"/>
    <mergeCell ref="H37:I37"/>
    <mergeCell ref="H38:I38"/>
    <mergeCell ref="A2:A3"/>
    <mergeCell ref="A29:A30"/>
    <mergeCell ref="B2:B3"/>
    <mergeCell ref="B29:B30"/>
    <mergeCell ref="G2:G3"/>
    <mergeCell ref="G29:G30"/>
  </mergeCells>
  <printOptions/>
  <pageMargins left="0.75" right="0.75" top="1" bottom="1" header="0.51" footer="0.51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E39"/>
  <sheetViews>
    <sheetView workbookViewId="0" topLeftCell="A16">
      <selection activeCell="N10" sqref="N10"/>
    </sheetView>
  </sheetViews>
  <sheetFormatPr defaultColWidth="8.125" defaultRowHeight="14.25"/>
  <cols>
    <col min="1" max="2" width="16.00390625" style="67" customWidth="1"/>
    <col min="3" max="6" width="13.25390625" style="67" customWidth="1"/>
    <col min="7" max="7" width="13.25390625" style="68" customWidth="1"/>
    <col min="8" max="8" width="8.125" style="67" customWidth="1"/>
    <col min="9" max="11" width="5.25390625" style="67" customWidth="1"/>
    <col min="12" max="12" width="12.375" style="67" customWidth="1"/>
    <col min="13" max="17" width="8.125" style="67" customWidth="1"/>
    <col min="18" max="18" width="14.25390625" style="67" customWidth="1"/>
    <col min="19" max="26" width="8.125" style="67" customWidth="1"/>
    <col min="27" max="27" width="16.375" style="67" customWidth="1"/>
    <col min="28" max="32" width="8.125" style="67" customWidth="1"/>
    <col min="33" max="33" width="8.125" style="68" customWidth="1"/>
    <col min="34" max="34" width="10.25390625" style="69" customWidth="1"/>
    <col min="35" max="35" width="8.125" style="67" customWidth="1"/>
    <col min="36" max="48" width="7.375" style="67" customWidth="1"/>
    <col min="49" max="16384" width="8.125" style="67" customWidth="1"/>
  </cols>
  <sheetData>
    <row r="1" spans="1:83" s="65" customFormat="1" ht="25.5">
      <c r="A1" s="569" t="s">
        <v>712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78"/>
    </row>
    <row r="2" spans="1:83" s="65" customFormat="1" ht="14.25">
      <c r="A2" s="560" t="s">
        <v>426</v>
      </c>
      <c r="B2" s="560" t="s">
        <v>632</v>
      </c>
      <c r="C2" s="566" t="s">
        <v>713</v>
      </c>
      <c r="D2" s="564"/>
      <c r="E2" s="564" t="s">
        <v>634</v>
      </c>
      <c r="F2" s="565"/>
      <c r="G2" s="560" t="s">
        <v>714</v>
      </c>
      <c r="H2" s="560" t="s">
        <v>715</v>
      </c>
      <c r="I2" s="560"/>
      <c r="J2" s="566" t="s">
        <v>716</v>
      </c>
      <c r="K2" s="565"/>
      <c r="L2" s="560" t="s">
        <v>717</v>
      </c>
      <c r="M2" s="566" t="s">
        <v>718</v>
      </c>
      <c r="N2" s="564"/>
      <c r="O2" s="564"/>
      <c r="P2" s="564" t="s">
        <v>719</v>
      </c>
      <c r="Q2" s="565"/>
      <c r="R2" s="559" t="s">
        <v>720</v>
      </c>
      <c r="S2" s="560" t="s">
        <v>721</v>
      </c>
      <c r="T2" s="560"/>
      <c r="U2" s="560"/>
      <c r="V2" s="560"/>
      <c r="W2" s="560"/>
      <c r="X2" s="560"/>
      <c r="Y2" s="566" t="s">
        <v>637</v>
      </c>
      <c r="Z2" s="565"/>
      <c r="AA2" s="560" t="s">
        <v>722</v>
      </c>
      <c r="AB2" s="562" t="s">
        <v>723</v>
      </c>
      <c r="AC2" s="563"/>
      <c r="AD2" s="563"/>
      <c r="AE2" s="563" t="s">
        <v>724</v>
      </c>
      <c r="AF2" s="563"/>
      <c r="AG2" s="77"/>
      <c r="AH2" s="78"/>
      <c r="AI2" s="446" t="s">
        <v>725</v>
      </c>
      <c r="AJ2" s="446"/>
      <c r="AK2" s="446" t="s">
        <v>176</v>
      </c>
      <c r="AL2" s="446"/>
      <c r="AM2" s="446" t="s">
        <v>177</v>
      </c>
      <c r="AN2" s="446"/>
      <c r="AO2" s="446" t="s">
        <v>89</v>
      </c>
      <c r="AP2" s="44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78"/>
    </row>
    <row r="3" spans="1:83" s="65" customFormat="1" ht="14.25">
      <c r="A3" s="560"/>
      <c r="B3" s="560"/>
      <c r="C3" s="70" t="s">
        <v>461</v>
      </c>
      <c r="D3" s="70" t="s">
        <v>460</v>
      </c>
      <c r="E3" s="8" t="s">
        <v>461</v>
      </c>
      <c r="F3" s="8" t="s">
        <v>460</v>
      </c>
      <c r="G3" s="560"/>
      <c r="H3" s="560"/>
      <c r="I3" s="560"/>
      <c r="J3" s="70" t="s">
        <v>461</v>
      </c>
      <c r="K3" s="70" t="s">
        <v>460</v>
      </c>
      <c r="L3" s="560"/>
      <c r="M3" s="70" t="s">
        <v>726</v>
      </c>
      <c r="N3" s="70" t="s">
        <v>727</v>
      </c>
      <c r="O3" s="70" t="s">
        <v>460</v>
      </c>
      <c r="P3" s="8" t="s">
        <v>461</v>
      </c>
      <c r="Q3" s="8" t="s">
        <v>460</v>
      </c>
      <c r="R3" s="560"/>
      <c r="S3" s="70" t="s">
        <v>728</v>
      </c>
      <c r="T3" s="70" t="s">
        <v>729</v>
      </c>
      <c r="U3" s="70" t="s">
        <v>730</v>
      </c>
      <c r="V3" s="70" t="s">
        <v>731</v>
      </c>
      <c r="W3" s="70" t="s">
        <v>647</v>
      </c>
      <c r="X3" s="70" t="s">
        <v>648</v>
      </c>
      <c r="Y3" s="8" t="s">
        <v>461</v>
      </c>
      <c r="Z3" s="8" t="s">
        <v>460</v>
      </c>
      <c r="AA3" s="560"/>
      <c r="AB3" s="8" t="s">
        <v>726</v>
      </c>
      <c r="AC3" s="8" t="s">
        <v>727</v>
      </c>
      <c r="AD3" s="8" t="s">
        <v>460</v>
      </c>
      <c r="AE3" s="8" t="s">
        <v>461</v>
      </c>
      <c r="AF3" s="8" t="s">
        <v>460</v>
      </c>
      <c r="AG3" s="8" t="s">
        <v>732</v>
      </c>
      <c r="AH3" s="8" t="s">
        <v>733</v>
      </c>
      <c r="AI3" s="8" t="s">
        <v>461</v>
      </c>
      <c r="AJ3" s="8" t="s">
        <v>460</v>
      </c>
      <c r="AK3" s="8" t="s">
        <v>461</v>
      </c>
      <c r="AL3" s="8" t="s">
        <v>460</v>
      </c>
      <c r="AM3" s="8" t="s">
        <v>461</v>
      </c>
      <c r="AN3" s="8" t="s">
        <v>460</v>
      </c>
      <c r="AO3" s="8" t="s">
        <v>461</v>
      </c>
      <c r="AP3" s="8" t="s">
        <v>460</v>
      </c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78"/>
    </row>
    <row r="4" spans="1:83" s="65" customFormat="1" ht="22.5" customHeight="1">
      <c r="A4" s="8" t="s">
        <v>734</v>
      </c>
      <c r="B4" s="8">
        <v>0</v>
      </c>
      <c r="C4" s="8">
        <v>36.0348</v>
      </c>
      <c r="D4" s="8">
        <v>31.6328</v>
      </c>
      <c r="F4" s="8"/>
      <c r="G4" s="8">
        <v>0</v>
      </c>
      <c r="H4" s="446">
        <v>0.15</v>
      </c>
      <c r="I4" s="446"/>
      <c r="J4" s="8"/>
      <c r="K4" s="8"/>
      <c r="L4" s="8">
        <v>0</v>
      </c>
      <c r="M4" s="70">
        <v>4.23</v>
      </c>
      <c r="N4" s="70">
        <v>3.43</v>
      </c>
      <c r="O4" s="70">
        <v>6.4</v>
      </c>
      <c r="P4" s="70"/>
      <c r="Q4" s="70"/>
      <c r="R4" s="70">
        <v>0</v>
      </c>
      <c r="S4" s="70">
        <v>9.915</v>
      </c>
      <c r="T4" s="70">
        <v>1.095</v>
      </c>
      <c r="U4" s="70">
        <v>4.15</v>
      </c>
      <c r="V4" s="70">
        <v>2</v>
      </c>
      <c r="W4" s="70">
        <v>2</v>
      </c>
      <c r="X4" s="70">
        <v>13.78</v>
      </c>
      <c r="Y4" s="70"/>
      <c r="Z4" s="70"/>
      <c r="AA4" s="70">
        <v>0</v>
      </c>
      <c r="AB4" s="8">
        <v>1.1234</v>
      </c>
      <c r="AC4" s="8">
        <v>0.5373</v>
      </c>
      <c r="AD4" s="8">
        <v>1.4164</v>
      </c>
      <c r="AE4" s="8"/>
      <c r="AF4" s="8"/>
      <c r="AG4" s="8">
        <f>AD4+AC4+AB4</f>
        <v>3.0770999999999997</v>
      </c>
      <c r="AH4" s="8">
        <v>0</v>
      </c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78"/>
    </row>
    <row r="5" spans="1:83" s="65" customFormat="1" ht="22.5" customHeight="1">
      <c r="A5" s="8" t="s">
        <v>735</v>
      </c>
      <c r="B5" s="8">
        <v>100</v>
      </c>
      <c r="C5" s="8">
        <v>75.7933</v>
      </c>
      <c r="D5" s="8">
        <v>29.8046</v>
      </c>
      <c r="E5" s="8">
        <f>(C5+C4)/2*B5</f>
        <v>5591.405000000001</v>
      </c>
      <c r="F5" s="8">
        <f>(D5+D4)/2*B5</f>
        <v>3071.87</v>
      </c>
      <c r="G5" s="8">
        <f aca="true" t="shared" si="0" ref="G5:G25">(D5+C5+D4+C4)/2*100</f>
        <v>8663.275</v>
      </c>
      <c r="H5" s="446">
        <v>0.15</v>
      </c>
      <c r="I5" s="446"/>
      <c r="J5" s="8">
        <f>0.1*0.5*1*B5</f>
        <v>5</v>
      </c>
      <c r="K5" s="8">
        <f>SUM(0.1*0.5*2*B5)</f>
        <v>10</v>
      </c>
      <c r="L5" s="8">
        <v>15</v>
      </c>
      <c r="M5" s="70">
        <v>4.23</v>
      </c>
      <c r="N5" s="70">
        <v>4.0221</v>
      </c>
      <c r="O5" s="70">
        <v>7.5501</v>
      </c>
      <c r="P5" s="70">
        <f aca="true" t="shared" si="1" ref="P5:P25">(M5+M4+N5+N4)/2*B5</f>
        <v>795.605</v>
      </c>
      <c r="Q5" s="70">
        <f aca="true" t="shared" si="2" ref="Q5:Q25">(O5+O4)/2*B5</f>
        <v>697.505</v>
      </c>
      <c r="R5" s="70">
        <f>(O5+O4+N4+N5+M5+M4)/2*100</f>
        <v>1493.1100000000001</v>
      </c>
      <c r="S5" s="70">
        <v>6.652</v>
      </c>
      <c r="T5" s="70">
        <v>1.095</v>
      </c>
      <c r="U5" s="70">
        <v>6.3851</v>
      </c>
      <c r="V5" s="70">
        <v>2</v>
      </c>
      <c r="W5" s="70">
        <v>2</v>
      </c>
      <c r="X5" s="70">
        <v>15.4015</v>
      </c>
      <c r="Y5" s="70">
        <f>SUM(S5+S4+T5+T4+U5+U4+V5+V4)/2*B5</f>
        <v>1664.6049999999998</v>
      </c>
      <c r="Z5" s="70">
        <f>(W4+W5+X4+X5)/2*B5</f>
        <v>1659.075</v>
      </c>
      <c r="AA5" s="70">
        <f>(X4+X5+W5+W4+V4+V5+U5+U4+T4+T5+S5+S4)/2*100</f>
        <v>3323.6800000000003</v>
      </c>
      <c r="AB5" s="8">
        <v>1.1234</v>
      </c>
      <c r="AC5" s="8">
        <v>0.8401</v>
      </c>
      <c r="AD5" s="8">
        <v>1.7192</v>
      </c>
      <c r="AE5" s="8">
        <f>(AB5+AB4+AC5+AC4)/2*B5/2.5</f>
        <v>72.48400000000001</v>
      </c>
      <c r="AF5" s="8">
        <f>(AD5+AD4)/2*B5/2.5</f>
        <v>62.712</v>
      </c>
      <c r="AG5" s="8">
        <f aca="true" t="shared" si="3" ref="AG5:AG25">AD5+AC5+AB5</f>
        <v>3.6826999999999996</v>
      </c>
      <c r="AH5" s="8">
        <f>(AG5+AG4)/2*20</f>
        <v>67.598</v>
      </c>
      <c r="AI5" s="79">
        <f>PI()*0.15^2*B5*2</f>
        <v>14.137166941154069</v>
      </c>
      <c r="AJ5" s="79">
        <f>PI()*0.15^2*B5</f>
        <v>7.0685834705770345</v>
      </c>
      <c r="AK5" s="79">
        <f>P5/10</f>
        <v>79.5605</v>
      </c>
      <c r="AL5" s="79">
        <f>Q5/10</f>
        <v>69.7505</v>
      </c>
      <c r="AM5" s="65">
        <f>(0.5*0.1*2+0.1*10*2)*B5/10*2</f>
        <v>42</v>
      </c>
      <c r="AN5" s="65">
        <f>(0.5*0.1*2+0.1*10*2)*B5/10</f>
        <v>21</v>
      </c>
      <c r="AO5" s="84">
        <f>(2*PI()*0.15+0.2)*B5*2</f>
        <v>228.49555921538757</v>
      </c>
      <c r="AP5" s="84">
        <f>(2*PI()*0.15+0.2)*B5</f>
        <v>114.24777960769379</v>
      </c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78"/>
    </row>
    <row r="6" spans="1:83" s="65" customFormat="1" ht="22.5" customHeight="1">
      <c r="A6" s="8" t="s">
        <v>736</v>
      </c>
      <c r="B6" s="8">
        <v>100</v>
      </c>
      <c r="C6" s="8">
        <v>102.1041</v>
      </c>
      <c r="D6" s="8">
        <v>32.6645</v>
      </c>
      <c r="E6" s="8">
        <f aca="true" t="shared" si="4" ref="E6:E25">(C6+C5)/2*B6</f>
        <v>8894.87</v>
      </c>
      <c r="F6" s="8">
        <f aca="true" t="shared" si="5" ref="F6:F25">(D6+D5)/2*B6</f>
        <v>3123.455</v>
      </c>
      <c r="G6" s="8">
        <f t="shared" si="0"/>
        <v>12018.324999999999</v>
      </c>
      <c r="H6" s="446">
        <v>0.15</v>
      </c>
      <c r="I6" s="446"/>
      <c r="J6" s="8">
        <f aca="true" t="shared" si="6" ref="J6:J17">0.1*0.5*1*B6</f>
        <v>5</v>
      </c>
      <c r="K6" s="8">
        <f aca="true" t="shared" si="7" ref="K6:K17">SUM(0.1*0.5*2*B6)</f>
        <v>10</v>
      </c>
      <c r="L6" s="8">
        <v>15</v>
      </c>
      <c r="M6" s="70">
        <v>4.23</v>
      </c>
      <c r="N6" s="70">
        <v>3.6181</v>
      </c>
      <c r="O6" s="70">
        <v>6.7861</v>
      </c>
      <c r="P6" s="70">
        <f t="shared" si="1"/>
        <v>805.01</v>
      </c>
      <c r="Q6" s="70">
        <f t="shared" si="2"/>
        <v>716.81</v>
      </c>
      <c r="R6" s="70">
        <f aca="true" t="shared" si="8" ref="R6:R25">(O6+O5+N5+N6+M6+M5)/2*100</f>
        <v>1521.82</v>
      </c>
      <c r="S6" s="70">
        <v>9.915</v>
      </c>
      <c r="T6" s="70">
        <v>1.095</v>
      </c>
      <c r="U6" s="70">
        <v>4.9211</v>
      </c>
      <c r="V6" s="70">
        <v>2</v>
      </c>
      <c r="W6" s="70">
        <v>2</v>
      </c>
      <c r="X6" s="70">
        <v>14.9471</v>
      </c>
      <c r="Y6" s="70">
        <f aca="true" t="shared" si="9" ref="Y6:Y17">SUM(S6+S5+T6+T5+U6+U5+V6+V5)/2*B6</f>
        <v>1703.1599999999999</v>
      </c>
      <c r="Z6" s="70">
        <f aca="true" t="shared" si="10" ref="Z6:Z17">(W5+W6+X5+X6)/2*B6</f>
        <v>1717.4299999999998</v>
      </c>
      <c r="AA6" s="70">
        <f aca="true" t="shared" si="11" ref="AA6:AA25">(X5+X6+W6+W5+V5+V6+U6+U5+T5+T6+S6+S5)/2*100</f>
        <v>3420.59</v>
      </c>
      <c r="AB6" s="8">
        <v>1.1234</v>
      </c>
      <c r="AC6" s="8">
        <v>0.6447</v>
      </c>
      <c r="AD6" s="8">
        <v>1.5239</v>
      </c>
      <c r="AE6" s="8">
        <f aca="true" t="shared" si="12" ref="AE6:AE25">(AB6+AB5+AC6+AC5)/2*B6/2.5</f>
        <v>74.63199999999999</v>
      </c>
      <c r="AF6" s="8">
        <f aca="true" t="shared" si="13" ref="AF6:AF25">(AD6+AD5)/2*B6/2.5</f>
        <v>64.862</v>
      </c>
      <c r="AG6" s="8">
        <f t="shared" si="3"/>
        <v>3.292</v>
      </c>
      <c r="AH6" s="8">
        <f aca="true" t="shared" si="14" ref="AH6:AH25">(AG6+AG5)/2*20</f>
        <v>69.747</v>
      </c>
      <c r="AI6" s="79">
        <f aca="true" t="shared" si="15" ref="AI6:AI25">PI()*0.15^2*B6*2</f>
        <v>14.137166941154069</v>
      </c>
      <c r="AJ6" s="79">
        <f aca="true" t="shared" si="16" ref="AJ6:AJ25">PI()*0.15^2*B6</f>
        <v>7.0685834705770345</v>
      </c>
      <c r="AK6" s="79">
        <f aca="true" t="shared" si="17" ref="AK6:AL22">P6/10</f>
        <v>80.501</v>
      </c>
      <c r="AL6" s="79">
        <f t="shared" si="17"/>
        <v>71.681</v>
      </c>
      <c r="AM6" s="65">
        <f aca="true" t="shared" si="18" ref="AM6:AM25">(0.5*0.1*2+0.1*10*2)*B6/10*2</f>
        <v>42</v>
      </c>
      <c r="AN6" s="65">
        <f aca="true" t="shared" si="19" ref="AN6:AN25">(0.5*0.1*2+0.1*10*2)*B6/10</f>
        <v>21</v>
      </c>
      <c r="AO6" s="84">
        <f aca="true" t="shared" si="20" ref="AO6:AO25">(2*PI()*0.15+0.2)*B6*2</f>
        <v>228.49555921538757</v>
      </c>
      <c r="AP6" s="84">
        <f aca="true" t="shared" si="21" ref="AP6:AP25">(2*PI()*0.15+0.2)*B6</f>
        <v>114.24777960769379</v>
      </c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78"/>
    </row>
    <row r="7" spans="1:83" s="65" customFormat="1" ht="22.5" customHeight="1">
      <c r="A7" s="8" t="s">
        <v>737</v>
      </c>
      <c r="B7" s="8">
        <v>100</v>
      </c>
      <c r="C7" s="8">
        <v>69.6908</v>
      </c>
      <c r="D7" s="8">
        <v>25.1295</v>
      </c>
      <c r="E7" s="8">
        <f t="shared" si="4"/>
        <v>8589.744999999999</v>
      </c>
      <c r="F7" s="8">
        <f t="shared" si="5"/>
        <v>2889.7</v>
      </c>
      <c r="G7" s="8">
        <f t="shared" si="0"/>
        <v>11479.445000000002</v>
      </c>
      <c r="H7" s="446">
        <v>0.15</v>
      </c>
      <c r="I7" s="446"/>
      <c r="J7" s="8">
        <f t="shared" si="6"/>
        <v>5</v>
      </c>
      <c r="K7" s="8">
        <f t="shared" si="7"/>
        <v>10</v>
      </c>
      <c r="L7" s="8">
        <v>15</v>
      </c>
      <c r="M7" s="70">
        <v>4.23</v>
      </c>
      <c r="N7" s="70">
        <v>5.2422</v>
      </c>
      <c r="O7" s="70">
        <v>5.8662</v>
      </c>
      <c r="P7" s="70">
        <f t="shared" si="1"/>
        <v>866.0150000000001</v>
      </c>
      <c r="Q7" s="70">
        <f t="shared" si="2"/>
        <v>632.615</v>
      </c>
      <c r="R7" s="70">
        <f t="shared" si="8"/>
        <v>1498.63</v>
      </c>
      <c r="S7" s="70">
        <v>9.915</v>
      </c>
      <c r="T7" s="70">
        <v>1.095</v>
      </c>
      <c r="U7" s="70">
        <v>3.0392</v>
      </c>
      <c r="V7" s="70">
        <v>2</v>
      </c>
      <c r="W7" s="70">
        <v>2</v>
      </c>
      <c r="X7" s="70">
        <v>12.0747</v>
      </c>
      <c r="Y7" s="70">
        <f t="shared" si="9"/>
        <v>1699.0149999999999</v>
      </c>
      <c r="Z7" s="70">
        <f t="shared" si="10"/>
        <v>1551.09</v>
      </c>
      <c r="AA7" s="70">
        <f t="shared" si="11"/>
        <v>3250.105</v>
      </c>
      <c r="AB7" s="8">
        <v>1.1234</v>
      </c>
      <c r="AC7" s="8">
        <v>0.5006</v>
      </c>
      <c r="AD7" s="8">
        <v>1.2552</v>
      </c>
      <c r="AE7" s="8">
        <f t="shared" si="12"/>
        <v>67.84200000000001</v>
      </c>
      <c r="AF7" s="8">
        <f t="shared" si="13"/>
        <v>55.58200000000001</v>
      </c>
      <c r="AG7" s="8">
        <f t="shared" si="3"/>
        <v>2.8792</v>
      </c>
      <c r="AH7" s="8">
        <f t="shared" si="14"/>
        <v>61.711999999999996</v>
      </c>
      <c r="AI7" s="79">
        <f t="shared" si="15"/>
        <v>14.137166941154069</v>
      </c>
      <c r="AJ7" s="79">
        <f t="shared" si="16"/>
        <v>7.0685834705770345</v>
      </c>
      <c r="AK7" s="79">
        <f t="shared" si="17"/>
        <v>86.60150000000002</v>
      </c>
      <c r="AL7" s="79">
        <f t="shared" si="17"/>
        <v>63.2615</v>
      </c>
      <c r="AM7" s="65">
        <f t="shared" si="18"/>
        <v>42</v>
      </c>
      <c r="AN7" s="65">
        <f t="shared" si="19"/>
        <v>21</v>
      </c>
      <c r="AO7" s="84">
        <f t="shared" si="20"/>
        <v>228.49555921538757</v>
      </c>
      <c r="AP7" s="84">
        <f t="shared" si="21"/>
        <v>114.24777960769379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78"/>
    </row>
    <row r="8" spans="1:83" s="65" customFormat="1" ht="22.5" customHeight="1">
      <c r="A8" s="8" t="s">
        <v>738</v>
      </c>
      <c r="B8" s="8">
        <v>100</v>
      </c>
      <c r="C8" s="8">
        <v>106.9791</v>
      </c>
      <c r="D8" s="8">
        <v>41.2872</v>
      </c>
      <c r="E8" s="8">
        <f t="shared" si="4"/>
        <v>8833.494999999999</v>
      </c>
      <c r="F8" s="8">
        <f t="shared" si="5"/>
        <v>3320.8349999999996</v>
      </c>
      <c r="G8" s="8">
        <f t="shared" si="0"/>
        <v>12154.33</v>
      </c>
      <c r="H8" s="446">
        <v>0.15</v>
      </c>
      <c r="I8" s="446"/>
      <c r="J8" s="8">
        <f t="shared" si="6"/>
        <v>5</v>
      </c>
      <c r="K8" s="8">
        <f t="shared" si="7"/>
        <v>10</v>
      </c>
      <c r="L8" s="8">
        <v>15</v>
      </c>
      <c r="M8" s="70">
        <v>4.23</v>
      </c>
      <c r="N8" s="70">
        <v>3.7309</v>
      </c>
      <c r="O8" s="70">
        <v>7.0069</v>
      </c>
      <c r="P8" s="70">
        <f t="shared" si="1"/>
        <v>871.6550000000002</v>
      </c>
      <c r="Q8" s="70">
        <f t="shared" si="2"/>
        <v>643.6550000000001</v>
      </c>
      <c r="R8" s="70">
        <f t="shared" si="8"/>
        <v>1515.3100000000002</v>
      </c>
      <c r="S8" s="70">
        <v>9.915</v>
      </c>
      <c r="T8" s="70">
        <v>1.095</v>
      </c>
      <c r="U8" s="70">
        <v>5.3519</v>
      </c>
      <c r="V8" s="70">
        <v>2</v>
      </c>
      <c r="W8" s="70">
        <v>2</v>
      </c>
      <c r="X8" s="70">
        <v>15.5939</v>
      </c>
      <c r="Y8" s="70">
        <f t="shared" si="9"/>
        <v>1720.5549999999998</v>
      </c>
      <c r="Z8" s="70">
        <f t="shared" si="10"/>
        <v>1583.4299999999998</v>
      </c>
      <c r="AA8" s="70">
        <f t="shared" si="11"/>
        <v>3303.985</v>
      </c>
      <c r="AB8" s="8">
        <v>1.1234</v>
      </c>
      <c r="AC8" s="8">
        <v>0.7033</v>
      </c>
      <c r="AD8" s="8">
        <v>1.5825</v>
      </c>
      <c r="AE8" s="8">
        <f t="shared" si="12"/>
        <v>69.014</v>
      </c>
      <c r="AF8" s="8">
        <f t="shared" si="13"/>
        <v>56.754</v>
      </c>
      <c r="AG8" s="8">
        <f t="shared" si="3"/>
        <v>3.4092000000000002</v>
      </c>
      <c r="AH8" s="8">
        <f t="shared" si="14"/>
        <v>62.884</v>
      </c>
      <c r="AI8" s="79">
        <f t="shared" si="15"/>
        <v>14.137166941154069</v>
      </c>
      <c r="AJ8" s="79">
        <f t="shared" si="16"/>
        <v>7.0685834705770345</v>
      </c>
      <c r="AK8" s="79">
        <f t="shared" si="17"/>
        <v>87.16550000000002</v>
      </c>
      <c r="AL8" s="79">
        <f t="shared" si="17"/>
        <v>64.36550000000001</v>
      </c>
      <c r="AM8" s="65">
        <f t="shared" si="18"/>
        <v>42</v>
      </c>
      <c r="AN8" s="65">
        <f t="shared" si="19"/>
        <v>21</v>
      </c>
      <c r="AO8" s="84">
        <f t="shared" si="20"/>
        <v>228.49555921538757</v>
      </c>
      <c r="AP8" s="84">
        <f t="shared" si="21"/>
        <v>114.24777960769379</v>
      </c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78"/>
    </row>
    <row r="9" spans="1:83" s="65" customFormat="1" ht="22.5" customHeight="1">
      <c r="A9" s="8" t="s">
        <v>739</v>
      </c>
      <c r="B9" s="8">
        <v>100</v>
      </c>
      <c r="C9" s="8">
        <v>79.094032</v>
      </c>
      <c r="D9" s="8">
        <v>41.505568</v>
      </c>
      <c r="E9" s="8">
        <f t="shared" si="4"/>
        <v>9303.656599999998</v>
      </c>
      <c r="F9" s="8">
        <f t="shared" si="5"/>
        <v>4139.6384</v>
      </c>
      <c r="G9" s="8">
        <f t="shared" si="0"/>
        <v>13443.295</v>
      </c>
      <c r="H9" s="446">
        <v>0.15</v>
      </c>
      <c r="I9" s="446"/>
      <c r="J9" s="8">
        <f t="shared" si="6"/>
        <v>5</v>
      </c>
      <c r="K9" s="8">
        <f t="shared" si="7"/>
        <v>10</v>
      </c>
      <c r="L9" s="8">
        <v>15</v>
      </c>
      <c r="M9" s="70">
        <v>4.23</v>
      </c>
      <c r="N9" s="70">
        <v>3.959648</v>
      </c>
      <c r="O9" s="70">
        <v>7.457488</v>
      </c>
      <c r="P9" s="70">
        <f t="shared" si="1"/>
        <v>807.5274000000001</v>
      </c>
      <c r="Q9" s="70">
        <f t="shared" si="2"/>
        <v>723.2194</v>
      </c>
      <c r="R9" s="70">
        <f t="shared" si="8"/>
        <v>1530.7468</v>
      </c>
      <c r="S9" s="70">
        <v>9.915008</v>
      </c>
      <c r="T9" s="70">
        <v>1.095</v>
      </c>
      <c r="U9" s="70">
        <v>6.1716</v>
      </c>
      <c r="V9" s="70">
        <v>2</v>
      </c>
      <c r="W9" s="70">
        <v>2</v>
      </c>
      <c r="X9" s="70">
        <v>16.814992</v>
      </c>
      <c r="Y9" s="70">
        <f t="shared" si="9"/>
        <v>1877.1753999999999</v>
      </c>
      <c r="Z9" s="70">
        <f t="shared" si="10"/>
        <v>1820.4445999999998</v>
      </c>
      <c r="AA9" s="70">
        <f t="shared" si="11"/>
        <v>3697.619999999999</v>
      </c>
      <c r="AB9" s="8">
        <v>1.1234</v>
      </c>
      <c r="AC9" s="8">
        <v>0.81224</v>
      </c>
      <c r="AD9" s="8">
        <v>1.69136</v>
      </c>
      <c r="AE9" s="8">
        <f t="shared" si="12"/>
        <v>75.2468</v>
      </c>
      <c r="AF9" s="8">
        <f t="shared" si="13"/>
        <v>65.47720000000001</v>
      </c>
      <c r="AG9" s="8">
        <f t="shared" si="3"/>
        <v>3.627</v>
      </c>
      <c r="AH9" s="8">
        <f t="shared" si="14"/>
        <v>70.362</v>
      </c>
      <c r="AI9" s="79">
        <f t="shared" si="15"/>
        <v>14.137166941154069</v>
      </c>
      <c r="AJ9" s="79">
        <f t="shared" si="16"/>
        <v>7.0685834705770345</v>
      </c>
      <c r="AK9" s="79">
        <f t="shared" si="17"/>
        <v>80.75274</v>
      </c>
      <c r="AL9" s="79">
        <f t="shared" si="17"/>
        <v>72.32194</v>
      </c>
      <c r="AM9" s="65">
        <f t="shared" si="18"/>
        <v>42</v>
      </c>
      <c r="AN9" s="65">
        <f t="shared" si="19"/>
        <v>21</v>
      </c>
      <c r="AO9" s="84">
        <f t="shared" si="20"/>
        <v>228.49555921538757</v>
      </c>
      <c r="AP9" s="84">
        <f t="shared" si="21"/>
        <v>114.24777960769379</v>
      </c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78"/>
    </row>
    <row r="10" spans="1:83" s="65" customFormat="1" ht="22.5" customHeight="1">
      <c r="A10" s="8" t="s">
        <v>740</v>
      </c>
      <c r="B10" s="8">
        <v>100</v>
      </c>
      <c r="C10" s="8">
        <v>87.133</v>
      </c>
      <c r="D10" s="8">
        <v>35.7373</v>
      </c>
      <c r="E10" s="8">
        <f t="shared" si="4"/>
        <v>8311.3516</v>
      </c>
      <c r="F10" s="8">
        <f t="shared" si="5"/>
        <v>3862.1433999999995</v>
      </c>
      <c r="G10" s="8">
        <f t="shared" si="0"/>
        <v>12173.494999999999</v>
      </c>
      <c r="H10" s="446">
        <v>0.15</v>
      </c>
      <c r="I10" s="446"/>
      <c r="J10" s="8">
        <f t="shared" si="6"/>
        <v>5</v>
      </c>
      <c r="K10" s="8">
        <f t="shared" si="7"/>
        <v>10</v>
      </c>
      <c r="L10" s="8">
        <v>15</v>
      </c>
      <c r="M10" s="70">
        <v>4.23</v>
      </c>
      <c r="N10" s="70">
        <v>7.0069</v>
      </c>
      <c r="O10" s="70">
        <v>5.76</v>
      </c>
      <c r="P10" s="70">
        <f t="shared" si="1"/>
        <v>971.3274</v>
      </c>
      <c r="Q10" s="70">
        <f t="shared" si="2"/>
        <v>660.8743999999999</v>
      </c>
      <c r="R10" s="70">
        <f t="shared" si="8"/>
        <v>1632.2018</v>
      </c>
      <c r="S10" s="70">
        <v>9.915</v>
      </c>
      <c r="T10" s="70">
        <v>1.095</v>
      </c>
      <c r="U10" s="70">
        <v>2.81</v>
      </c>
      <c r="V10" s="70">
        <v>2</v>
      </c>
      <c r="W10" s="70">
        <v>2</v>
      </c>
      <c r="X10" s="70">
        <v>11.72</v>
      </c>
      <c r="Y10" s="70">
        <f t="shared" si="9"/>
        <v>1750.0803999999998</v>
      </c>
      <c r="Z10" s="70">
        <f t="shared" si="10"/>
        <v>1626.7496</v>
      </c>
      <c r="AA10" s="70">
        <f t="shared" si="11"/>
        <v>3376.8299999999995</v>
      </c>
      <c r="AB10" s="8">
        <v>1.1234</v>
      </c>
      <c r="AC10" s="8">
        <v>0.5006</v>
      </c>
      <c r="AD10" s="8">
        <v>1.221</v>
      </c>
      <c r="AE10" s="8">
        <f t="shared" si="12"/>
        <v>71.1928</v>
      </c>
      <c r="AF10" s="8">
        <f t="shared" si="13"/>
        <v>58.2472</v>
      </c>
      <c r="AG10" s="8">
        <f t="shared" si="3"/>
        <v>2.8449999999999998</v>
      </c>
      <c r="AH10" s="8">
        <f t="shared" si="14"/>
        <v>64.72</v>
      </c>
      <c r="AI10" s="79">
        <f t="shared" si="15"/>
        <v>14.137166941154069</v>
      </c>
      <c r="AJ10" s="79">
        <f t="shared" si="16"/>
        <v>7.0685834705770345</v>
      </c>
      <c r="AK10" s="79">
        <f t="shared" si="17"/>
        <v>97.13274</v>
      </c>
      <c r="AL10" s="79">
        <f t="shared" si="17"/>
        <v>66.08743999999999</v>
      </c>
      <c r="AM10" s="65">
        <f t="shared" si="18"/>
        <v>42</v>
      </c>
      <c r="AN10" s="65">
        <f t="shared" si="19"/>
        <v>21</v>
      </c>
      <c r="AO10" s="84">
        <f t="shared" si="20"/>
        <v>228.49555921538757</v>
      </c>
      <c r="AP10" s="84">
        <f t="shared" si="21"/>
        <v>114.24777960769379</v>
      </c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78"/>
    </row>
    <row r="11" spans="1:83" s="65" customFormat="1" ht="22.5" customHeight="1">
      <c r="A11" s="8" t="s">
        <v>741</v>
      </c>
      <c r="B11" s="8">
        <v>100</v>
      </c>
      <c r="C11" s="8">
        <v>117.5354</v>
      </c>
      <c r="D11" s="8">
        <v>33.8687</v>
      </c>
      <c r="E11" s="8">
        <f t="shared" si="4"/>
        <v>10233.42</v>
      </c>
      <c r="F11" s="8">
        <f t="shared" si="5"/>
        <v>3480.2999999999997</v>
      </c>
      <c r="G11" s="8">
        <f t="shared" si="0"/>
        <v>13713.720000000001</v>
      </c>
      <c r="H11" s="446">
        <v>0.15</v>
      </c>
      <c r="I11" s="446"/>
      <c r="J11" s="8">
        <f t="shared" si="6"/>
        <v>5</v>
      </c>
      <c r="K11" s="8">
        <f t="shared" si="7"/>
        <v>10</v>
      </c>
      <c r="L11" s="8">
        <v>15</v>
      </c>
      <c r="M11" s="70">
        <v>4.23</v>
      </c>
      <c r="N11" s="70">
        <v>3.3829</v>
      </c>
      <c r="O11" s="70">
        <v>6.2989</v>
      </c>
      <c r="P11" s="70">
        <f t="shared" si="1"/>
        <v>942.4900000000001</v>
      </c>
      <c r="Q11" s="70">
        <f t="shared" si="2"/>
        <v>602.9449999999999</v>
      </c>
      <c r="R11" s="70">
        <f t="shared" si="8"/>
        <v>1545.435</v>
      </c>
      <c r="S11" s="70">
        <v>9.915</v>
      </c>
      <c r="T11" s="70">
        <v>1.095</v>
      </c>
      <c r="U11" s="70">
        <v>3.9439</v>
      </c>
      <c r="V11" s="70">
        <v>2</v>
      </c>
      <c r="W11" s="70">
        <v>2</v>
      </c>
      <c r="X11" s="70">
        <v>13.4659</v>
      </c>
      <c r="Y11" s="70">
        <f t="shared" si="9"/>
        <v>1638.695</v>
      </c>
      <c r="Z11" s="70">
        <f t="shared" si="10"/>
        <v>1459.295</v>
      </c>
      <c r="AA11" s="70">
        <f t="shared" si="11"/>
        <v>3097.9900000000002</v>
      </c>
      <c r="AB11" s="8">
        <v>1.1234</v>
      </c>
      <c r="AC11" s="8">
        <v>0.508</v>
      </c>
      <c r="AD11" s="8">
        <v>1.4652</v>
      </c>
      <c r="AE11" s="8">
        <f t="shared" si="12"/>
        <v>65.10799999999999</v>
      </c>
      <c r="AF11" s="8">
        <f t="shared" si="13"/>
        <v>53.72400000000001</v>
      </c>
      <c r="AG11" s="8">
        <f t="shared" si="3"/>
        <v>3.0966</v>
      </c>
      <c r="AH11" s="8">
        <f t="shared" si="14"/>
        <v>59.416</v>
      </c>
      <c r="AI11" s="79">
        <f t="shared" si="15"/>
        <v>14.137166941154069</v>
      </c>
      <c r="AJ11" s="79">
        <f t="shared" si="16"/>
        <v>7.0685834705770345</v>
      </c>
      <c r="AK11" s="79">
        <f t="shared" si="17"/>
        <v>94.24900000000001</v>
      </c>
      <c r="AL11" s="79">
        <f t="shared" si="17"/>
        <v>60.29449999999999</v>
      </c>
      <c r="AM11" s="65">
        <f t="shared" si="18"/>
        <v>42</v>
      </c>
      <c r="AN11" s="65">
        <f t="shared" si="19"/>
        <v>21</v>
      </c>
      <c r="AO11" s="84">
        <f t="shared" si="20"/>
        <v>228.49555921538757</v>
      </c>
      <c r="AP11" s="84">
        <f t="shared" si="21"/>
        <v>114.24777960769379</v>
      </c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78"/>
    </row>
    <row r="12" spans="1:83" s="65" customFormat="1" ht="22.5" customHeight="1">
      <c r="A12" s="8" t="s">
        <v>742</v>
      </c>
      <c r="B12" s="8">
        <v>100</v>
      </c>
      <c r="C12" s="8">
        <v>90.3539</v>
      </c>
      <c r="D12" s="8">
        <v>37.7446</v>
      </c>
      <c r="E12" s="8">
        <f t="shared" si="4"/>
        <v>10394.465</v>
      </c>
      <c r="F12" s="8">
        <f t="shared" si="5"/>
        <v>3580.665</v>
      </c>
      <c r="G12" s="8">
        <f t="shared" si="0"/>
        <v>13975.13</v>
      </c>
      <c r="H12" s="446">
        <v>0.15</v>
      </c>
      <c r="I12" s="446"/>
      <c r="J12" s="8">
        <f t="shared" si="6"/>
        <v>5</v>
      </c>
      <c r="K12" s="8">
        <f t="shared" si="7"/>
        <v>10</v>
      </c>
      <c r="L12" s="8">
        <v>15</v>
      </c>
      <c r="M12" s="70">
        <v>4.23</v>
      </c>
      <c r="N12" s="70">
        <v>3.3229</v>
      </c>
      <c r="O12" s="70">
        <v>6.1669</v>
      </c>
      <c r="P12" s="70">
        <f t="shared" si="1"/>
        <v>758.2900000000001</v>
      </c>
      <c r="Q12" s="70">
        <f t="shared" si="2"/>
        <v>623.29</v>
      </c>
      <c r="R12" s="70">
        <f t="shared" si="8"/>
        <v>1381.58</v>
      </c>
      <c r="S12" s="70">
        <v>9.915</v>
      </c>
      <c r="T12" s="70">
        <v>1.095</v>
      </c>
      <c r="U12" s="70">
        <v>3.6719</v>
      </c>
      <c r="V12" s="70">
        <v>2</v>
      </c>
      <c r="W12" s="70">
        <v>2</v>
      </c>
      <c r="X12" s="70">
        <v>13.0499</v>
      </c>
      <c r="Y12" s="70">
        <f t="shared" si="9"/>
        <v>1681.7899999999997</v>
      </c>
      <c r="Z12" s="70">
        <f t="shared" si="10"/>
        <v>1525.79</v>
      </c>
      <c r="AA12" s="70">
        <f t="shared" si="11"/>
        <v>3207.58</v>
      </c>
      <c r="AB12" s="8">
        <v>1.1234</v>
      </c>
      <c r="AC12" s="8">
        <v>0.5006</v>
      </c>
      <c r="AD12" s="8">
        <v>1.348</v>
      </c>
      <c r="AE12" s="8">
        <f t="shared" si="12"/>
        <v>65.10799999999999</v>
      </c>
      <c r="AF12" s="8">
        <f t="shared" si="13"/>
        <v>56.263999999999996</v>
      </c>
      <c r="AG12" s="8">
        <f t="shared" si="3"/>
        <v>2.9720000000000004</v>
      </c>
      <c r="AH12" s="8">
        <f t="shared" si="14"/>
        <v>60.686</v>
      </c>
      <c r="AI12" s="79">
        <f t="shared" si="15"/>
        <v>14.137166941154069</v>
      </c>
      <c r="AJ12" s="79">
        <f t="shared" si="16"/>
        <v>7.0685834705770345</v>
      </c>
      <c r="AK12" s="79">
        <f t="shared" si="17"/>
        <v>75.82900000000001</v>
      </c>
      <c r="AL12" s="79">
        <f t="shared" si="17"/>
        <v>62.32899999999999</v>
      </c>
      <c r="AM12" s="65">
        <f t="shared" si="18"/>
        <v>42</v>
      </c>
      <c r="AN12" s="65">
        <f t="shared" si="19"/>
        <v>21</v>
      </c>
      <c r="AO12" s="84">
        <f t="shared" si="20"/>
        <v>228.49555921538757</v>
      </c>
      <c r="AP12" s="84">
        <f t="shared" si="21"/>
        <v>114.24777960769379</v>
      </c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78"/>
    </row>
    <row r="13" spans="1:83" s="65" customFormat="1" ht="22.5" customHeight="1">
      <c r="A13" s="8" t="s">
        <v>743</v>
      </c>
      <c r="B13" s="8">
        <v>100</v>
      </c>
      <c r="C13" s="8">
        <v>81.532048</v>
      </c>
      <c r="D13" s="8">
        <v>28.357824</v>
      </c>
      <c r="E13" s="8">
        <f t="shared" si="4"/>
        <v>8594.2974</v>
      </c>
      <c r="F13" s="8">
        <f t="shared" si="5"/>
        <v>3305.1212</v>
      </c>
      <c r="G13" s="8">
        <f t="shared" si="0"/>
        <v>11899.418599999999</v>
      </c>
      <c r="H13" s="446">
        <v>0.15</v>
      </c>
      <c r="I13" s="446"/>
      <c r="J13" s="8">
        <f t="shared" si="6"/>
        <v>5</v>
      </c>
      <c r="K13" s="8">
        <f t="shared" si="7"/>
        <v>10</v>
      </c>
      <c r="L13" s="8">
        <v>15</v>
      </c>
      <c r="M13" s="70">
        <v>4.23</v>
      </c>
      <c r="N13" s="70">
        <v>3.385216</v>
      </c>
      <c r="O13" s="70">
        <v>6.30392</v>
      </c>
      <c r="P13" s="70">
        <f t="shared" si="1"/>
        <v>758.4058000000001</v>
      </c>
      <c r="Q13" s="70">
        <f t="shared" si="2"/>
        <v>623.5409999999999</v>
      </c>
      <c r="R13" s="70">
        <f t="shared" si="8"/>
        <v>1381.9468000000002</v>
      </c>
      <c r="S13" s="70">
        <v>9.915008</v>
      </c>
      <c r="T13" s="70">
        <v>1.095</v>
      </c>
      <c r="U13" s="70">
        <v>3.95416</v>
      </c>
      <c r="V13" s="70">
        <v>2</v>
      </c>
      <c r="W13" s="70">
        <v>2</v>
      </c>
      <c r="X13" s="70">
        <v>13.481568</v>
      </c>
      <c r="Y13" s="70">
        <f t="shared" si="9"/>
        <v>1682.3034</v>
      </c>
      <c r="Z13" s="70">
        <f t="shared" si="10"/>
        <v>1526.5734</v>
      </c>
      <c r="AA13" s="70">
        <f t="shared" si="11"/>
        <v>3208.8768</v>
      </c>
      <c r="AB13" s="8">
        <v>1.1234</v>
      </c>
      <c r="AC13" s="8">
        <v>0.50064</v>
      </c>
      <c r="AD13" s="8">
        <v>1.38856</v>
      </c>
      <c r="AE13" s="8">
        <f t="shared" si="12"/>
        <v>64.9608</v>
      </c>
      <c r="AF13" s="8">
        <f t="shared" si="13"/>
        <v>54.7312</v>
      </c>
      <c r="AG13" s="8">
        <f t="shared" si="3"/>
        <v>3.0126</v>
      </c>
      <c r="AH13" s="8">
        <f t="shared" si="14"/>
        <v>59.846000000000004</v>
      </c>
      <c r="AI13" s="79">
        <f t="shared" si="15"/>
        <v>14.137166941154069</v>
      </c>
      <c r="AJ13" s="79">
        <f t="shared" si="16"/>
        <v>7.0685834705770345</v>
      </c>
      <c r="AK13" s="79">
        <f t="shared" si="17"/>
        <v>75.84058000000002</v>
      </c>
      <c r="AL13" s="79">
        <f t="shared" si="17"/>
        <v>62.354099999999995</v>
      </c>
      <c r="AM13" s="65">
        <f t="shared" si="18"/>
        <v>42</v>
      </c>
      <c r="AN13" s="65">
        <f t="shared" si="19"/>
        <v>21</v>
      </c>
      <c r="AO13" s="84">
        <f t="shared" si="20"/>
        <v>228.49555921538757</v>
      </c>
      <c r="AP13" s="84">
        <f t="shared" si="21"/>
        <v>114.24777960769379</v>
      </c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78"/>
    </row>
    <row r="14" spans="1:83" s="65" customFormat="1" ht="22.5" customHeight="1">
      <c r="A14" s="8" t="s">
        <v>744</v>
      </c>
      <c r="B14" s="8">
        <v>100</v>
      </c>
      <c r="C14" s="8">
        <v>76.7206</v>
      </c>
      <c r="D14" s="8">
        <v>25.8363</v>
      </c>
      <c r="E14" s="8">
        <f t="shared" si="4"/>
        <v>7912.632400000001</v>
      </c>
      <c r="F14" s="8">
        <f t="shared" si="5"/>
        <v>2709.7062</v>
      </c>
      <c r="G14" s="8">
        <f t="shared" si="0"/>
        <v>10622.338600000001</v>
      </c>
      <c r="H14" s="446">
        <v>0.15</v>
      </c>
      <c r="I14" s="446"/>
      <c r="J14" s="8">
        <f t="shared" si="6"/>
        <v>5</v>
      </c>
      <c r="K14" s="8">
        <f t="shared" si="7"/>
        <v>10</v>
      </c>
      <c r="L14" s="8">
        <v>15</v>
      </c>
      <c r="M14" s="70">
        <v>4.23</v>
      </c>
      <c r="N14" s="70">
        <v>3.301</v>
      </c>
      <c r="O14" s="70">
        <v>6.1177</v>
      </c>
      <c r="P14" s="70">
        <f t="shared" si="1"/>
        <v>757.3108000000001</v>
      </c>
      <c r="Q14" s="70">
        <f t="shared" si="2"/>
        <v>621.081</v>
      </c>
      <c r="R14" s="70">
        <f t="shared" si="8"/>
        <v>1378.3917999999999</v>
      </c>
      <c r="S14" s="70">
        <v>9.915</v>
      </c>
      <c r="T14" s="70">
        <v>1.095</v>
      </c>
      <c r="U14" s="70">
        <v>3.5697</v>
      </c>
      <c r="V14" s="70">
        <v>2</v>
      </c>
      <c r="W14" s="70">
        <v>2</v>
      </c>
      <c r="X14" s="70">
        <v>12.8932</v>
      </c>
      <c r="Y14" s="70">
        <f t="shared" si="9"/>
        <v>1677.1933999999999</v>
      </c>
      <c r="Z14" s="70">
        <f t="shared" si="10"/>
        <v>1518.7384</v>
      </c>
      <c r="AA14" s="70">
        <f t="shared" si="11"/>
        <v>3195.9318</v>
      </c>
      <c r="AB14" s="8">
        <v>1.1234</v>
      </c>
      <c r="AC14" s="8">
        <v>0.5006</v>
      </c>
      <c r="AD14" s="8">
        <v>1.3332</v>
      </c>
      <c r="AE14" s="8">
        <f t="shared" si="12"/>
        <v>64.96079999999999</v>
      </c>
      <c r="AF14" s="8">
        <f t="shared" si="13"/>
        <v>54.435199999999995</v>
      </c>
      <c r="AG14" s="8">
        <f t="shared" si="3"/>
        <v>2.9572000000000003</v>
      </c>
      <c r="AH14" s="8">
        <f t="shared" si="14"/>
        <v>59.698</v>
      </c>
      <c r="AI14" s="79">
        <f t="shared" si="15"/>
        <v>14.137166941154069</v>
      </c>
      <c r="AJ14" s="79">
        <f t="shared" si="16"/>
        <v>7.0685834705770345</v>
      </c>
      <c r="AK14" s="79">
        <f t="shared" si="17"/>
        <v>75.73108</v>
      </c>
      <c r="AL14" s="79">
        <f t="shared" si="17"/>
        <v>62.1081</v>
      </c>
      <c r="AM14" s="65">
        <f t="shared" si="18"/>
        <v>42</v>
      </c>
      <c r="AN14" s="65">
        <f t="shared" si="19"/>
        <v>21</v>
      </c>
      <c r="AO14" s="84">
        <f t="shared" si="20"/>
        <v>228.49555921538757</v>
      </c>
      <c r="AP14" s="84">
        <f t="shared" si="21"/>
        <v>114.24777960769379</v>
      </c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78"/>
    </row>
    <row r="15" spans="1:83" s="65" customFormat="1" ht="22.5" customHeight="1">
      <c r="A15" s="8" t="s">
        <v>745</v>
      </c>
      <c r="B15" s="8">
        <v>100</v>
      </c>
      <c r="C15" s="8">
        <v>57.9635</v>
      </c>
      <c r="D15" s="8">
        <v>22.3828</v>
      </c>
      <c r="E15" s="8">
        <f t="shared" si="4"/>
        <v>6734.205</v>
      </c>
      <c r="F15" s="8">
        <f t="shared" si="5"/>
        <v>2410.955</v>
      </c>
      <c r="G15" s="8">
        <f t="shared" si="0"/>
        <v>9145.160000000002</v>
      </c>
      <c r="H15" s="446">
        <v>0.15</v>
      </c>
      <c r="I15" s="446"/>
      <c r="J15" s="8">
        <f t="shared" si="6"/>
        <v>5</v>
      </c>
      <c r="K15" s="8">
        <f t="shared" si="7"/>
        <v>10</v>
      </c>
      <c r="L15" s="8">
        <v>15</v>
      </c>
      <c r="M15" s="70">
        <v>4.23</v>
      </c>
      <c r="N15" s="70">
        <v>3.1609</v>
      </c>
      <c r="O15" s="70">
        <v>5.7901</v>
      </c>
      <c r="P15" s="70">
        <f t="shared" si="1"/>
        <v>746.095</v>
      </c>
      <c r="Q15" s="70">
        <f t="shared" si="2"/>
        <v>595.39</v>
      </c>
      <c r="R15" s="70">
        <f t="shared" si="8"/>
        <v>1341.4850000000001</v>
      </c>
      <c r="S15" s="70">
        <v>9.915</v>
      </c>
      <c r="T15" s="70">
        <v>1.095</v>
      </c>
      <c r="U15" s="70">
        <v>2.8751</v>
      </c>
      <c r="V15" s="70">
        <v>2</v>
      </c>
      <c r="W15" s="70">
        <v>2</v>
      </c>
      <c r="X15" s="70">
        <v>12.0453</v>
      </c>
      <c r="Y15" s="70">
        <f t="shared" si="9"/>
        <v>1623.2399999999998</v>
      </c>
      <c r="Z15" s="70">
        <f t="shared" si="10"/>
        <v>1446.925</v>
      </c>
      <c r="AA15" s="70">
        <f t="shared" si="11"/>
        <v>3070.1649999999995</v>
      </c>
      <c r="AB15" s="8">
        <v>1.1234</v>
      </c>
      <c r="AC15" s="8">
        <v>0.5006</v>
      </c>
      <c r="AD15" s="8">
        <v>1.2308</v>
      </c>
      <c r="AE15" s="8">
        <f t="shared" si="12"/>
        <v>64.96</v>
      </c>
      <c r="AF15" s="8">
        <f t="shared" si="13"/>
        <v>51.279999999999994</v>
      </c>
      <c r="AG15" s="8">
        <f t="shared" si="3"/>
        <v>2.8548</v>
      </c>
      <c r="AH15" s="8">
        <f t="shared" si="14"/>
        <v>58.120000000000005</v>
      </c>
      <c r="AI15" s="79">
        <f t="shared" si="15"/>
        <v>14.137166941154069</v>
      </c>
      <c r="AJ15" s="79">
        <f t="shared" si="16"/>
        <v>7.0685834705770345</v>
      </c>
      <c r="AK15" s="79">
        <f t="shared" si="17"/>
        <v>74.6095</v>
      </c>
      <c r="AL15" s="79">
        <f t="shared" si="17"/>
        <v>59.539</v>
      </c>
      <c r="AM15" s="65">
        <f t="shared" si="18"/>
        <v>42</v>
      </c>
      <c r="AN15" s="65">
        <f t="shared" si="19"/>
        <v>21</v>
      </c>
      <c r="AO15" s="84">
        <f t="shared" si="20"/>
        <v>228.49555921538757</v>
      </c>
      <c r="AP15" s="84">
        <f t="shared" si="21"/>
        <v>114.24777960769379</v>
      </c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78"/>
    </row>
    <row r="16" spans="1:83" s="65" customFormat="1" ht="22.5" customHeight="1">
      <c r="A16" s="8" t="s">
        <v>746</v>
      </c>
      <c r="B16" s="8">
        <v>100</v>
      </c>
      <c r="C16" s="8">
        <v>57.0248</v>
      </c>
      <c r="D16" s="8">
        <v>21.5989</v>
      </c>
      <c r="E16" s="8">
        <f t="shared" si="4"/>
        <v>5749.415000000001</v>
      </c>
      <c r="F16" s="8">
        <f t="shared" si="5"/>
        <v>2199.085</v>
      </c>
      <c r="G16" s="8">
        <f t="shared" si="0"/>
        <v>7948.5</v>
      </c>
      <c r="H16" s="446">
        <v>0.15</v>
      </c>
      <c r="I16" s="446"/>
      <c r="J16" s="8">
        <f t="shared" si="6"/>
        <v>5</v>
      </c>
      <c r="K16" s="8">
        <f t="shared" si="7"/>
        <v>10</v>
      </c>
      <c r="L16" s="8">
        <v>15</v>
      </c>
      <c r="M16" s="70">
        <v>4.23</v>
      </c>
      <c r="N16" s="70">
        <v>3.15</v>
      </c>
      <c r="O16" s="70">
        <v>5.76</v>
      </c>
      <c r="P16" s="70">
        <f t="shared" si="1"/>
        <v>738.5450000000001</v>
      </c>
      <c r="Q16" s="70">
        <f t="shared" si="2"/>
        <v>577.505</v>
      </c>
      <c r="R16" s="70">
        <f t="shared" si="8"/>
        <v>1316.0500000000002</v>
      </c>
      <c r="S16" s="70">
        <v>9.915</v>
      </c>
      <c r="T16" s="70">
        <v>1.095</v>
      </c>
      <c r="U16" s="70">
        <v>2.81</v>
      </c>
      <c r="V16" s="70">
        <v>2</v>
      </c>
      <c r="W16" s="70">
        <v>2</v>
      </c>
      <c r="X16" s="70">
        <v>11.5617</v>
      </c>
      <c r="Y16" s="70">
        <f t="shared" si="9"/>
        <v>1585.2549999999997</v>
      </c>
      <c r="Z16" s="70">
        <f t="shared" si="10"/>
        <v>1380.35</v>
      </c>
      <c r="AA16" s="70">
        <f t="shared" si="11"/>
        <v>2965.605</v>
      </c>
      <c r="AB16" s="8">
        <v>1.1234</v>
      </c>
      <c r="AC16" s="8">
        <v>0.5006</v>
      </c>
      <c r="AD16" s="8">
        <v>1.221</v>
      </c>
      <c r="AE16" s="8">
        <f t="shared" si="12"/>
        <v>64.96</v>
      </c>
      <c r="AF16" s="8">
        <f t="shared" si="13"/>
        <v>49.036</v>
      </c>
      <c r="AG16" s="8">
        <f t="shared" si="3"/>
        <v>2.8449999999999998</v>
      </c>
      <c r="AH16" s="8">
        <f t="shared" si="14"/>
        <v>56.998</v>
      </c>
      <c r="AI16" s="79">
        <f t="shared" si="15"/>
        <v>14.137166941154069</v>
      </c>
      <c r="AJ16" s="79">
        <f t="shared" si="16"/>
        <v>7.0685834705770345</v>
      </c>
      <c r="AK16" s="79">
        <f t="shared" si="17"/>
        <v>73.8545</v>
      </c>
      <c r="AL16" s="79">
        <f t="shared" si="17"/>
        <v>57.7505</v>
      </c>
      <c r="AM16" s="65">
        <f t="shared" si="18"/>
        <v>42</v>
      </c>
      <c r="AN16" s="65">
        <f t="shared" si="19"/>
        <v>21</v>
      </c>
      <c r="AO16" s="84">
        <f t="shared" si="20"/>
        <v>228.49555921538757</v>
      </c>
      <c r="AP16" s="84">
        <f t="shared" si="21"/>
        <v>114.24777960769379</v>
      </c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78"/>
    </row>
    <row r="17" spans="1:83" s="65" customFormat="1" ht="22.5" customHeight="1">
      <c r="A17" s="8" t="s">
        <v>747</v>
      </c>
      <c r="B17" s="8">
        <v>100</v>
      </c>
      <c r="C17" s="8">
        <v>50.4351</v>
      </c>
      <c r="D17" s="8">
        <v>21.368</v>
      </c>
      <c r="E17" s="8">
        <f t="shared" si="4"/>
        <v>5372.995</v>
      </c>
      <c r="F17" s="8">
        <f t="shared" si="5"/>
        <v>2148.345</v>
      </c>
      <c r="G17" s="8">
        <f t="shared" si="0"/>
        <v>7521.340000000001</v>
      </c>
      <c r="H17" s="446">
        <v>0.15</v>
      </c>
      <c r="I17" s="446"/>
      <c r="J17" s="8">
        <f t="shared" si="6"/>
        <v>5</v>
      </c>
      <c r="K17" s="8">
        <f t="shared" si="7"/>
        <v>10</v>
      </c>
      <c r="L17" s="8">
        <v>15</v>
      </c>
      <c r="M17" s="70">
        <v>4.23</v>
      </c>
      <c r="N17" s="70">
        <v>3.249</v>
      </c>
      <c r="O17" s="70">
        <v>5.9985</v>
      </c>
      <c r="P17" s="70">
        <f t="shared" si="1"/>
        <v>742.95</v>
      </c>
      <c r="Q17" s="70">
        <f t="shared" si="2"/>
        <v>587.925</v>
      </c>
      <c r="R17" s="70">
        <f t="shared" si="8"/>
        <v>1330.875</v>
      </c>
      <c r="S17" s="70">
        <v>9.915</v>
      </c>
      <c r="T17" s="70">
        <v>1.095</v>
      </c>
      <c r="U17" s="70">
        <v>3.3198</v>
      </c>
      <c r="V17" s="70">
        <v>2</v>
      </c>
      <c r="W17" s="70">
        <v>2</v>
      </c>
      <c r="X17" s="70">
        <v>11.6249</v>
      </c>
      <c r="Y17" s="70">
        <f t="shared" si="9"/>
        <v>1607.49</v>
      </c>
      <c r="Z17" s="70">
        <f t="shared" si="10"/>
        <v>1359.33</v>
      </c>
      <c r="AA17" s="70">
        <f t="shared" si="11"/>
        <v>2966.8199999999997</v>
      </c>
      <c r="AB17" s="8">
        <v>1.1234</v>
      </c>
      <c r="AC17" s="8">
        <v>0.5006</v>
      </c>
      <c r="AD17" s="8">
        <v>1.2967</v>
      </c>
      <c r="AE17" s="8">
        <f t="shared" si="12"/>
        <v>64.96</v>
      </c>
      <c r="AF17" s="8">
        <f t="shared" si="13"/>
        <v>50.354</v>
      </c>
      <c r="AG17" s="8">
        <f t="shared" si="3"/>
        <v>2.9207</v>
      </c>
      <c r="AH17" s="8">
        <f t="shared" si="14"/>
        <v>57.657</v>
      </c>
      <c r="AI17" s="79">
        <f t="shared" si="15"/>
        <v>14.137166941154069</v>
      </c>
      <c r="AJ17" s="79">
        <f t="shared" si="16"/>
        <v>7.0685834705770345</v>
      </c>
      <c r="AK17" s="79">
        <f t="shared" si="17"/>
        <v>74.295</v>
      </c>
      <c r="AL17" s="79">
        <f t="shared" si="17"/>
        <v>58.7925</v>
      </c>
      <c r="AM17" s="65">
        <f t="shared" si="18"/>
        <v>42</v>
      </c>
      <c r="AN17" s="65">
        <f t="shared" si="19"/>
        <v>21</v>
      </c>
      <c r="AO17" s="84">
        <f t="shared" si="20"/>
        <v>228.49555921538757</v>
      </c>
      <c r="AP17" s="84">
        <f t="shared" si="21"/>
        <v>114.24777960769379</v>
      </c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78"/>
    </row>
    <row r="18" spans="1:83" s="65" customFormat="1" ht="22.5" customHeight="1">
      <c r="A18" s="8" t="s">
        <v>748</v>
      </c>
      <c r="B18" s="8">
        <v>100</v>
      </c>
      <c r="C18" s="8">
        <v>91.4222</v>
      </c>
      <c r="D18" s="8">
        <v>15.2911</v>
      </c>
      <c r="E18" s="8">
        <f t="shared" si="4"/>
        <v>7092.865000000001</v>
      </c>
      <c r="F18" s="8">
        <f t="shared" si="5"/>
        <v>1832.9549999999997</v>
      </c>
      <c r="G18" s="8">
        <f t="shared" si="0"/>
        <v>8925.82</v>
      </c>
      <c r="H18" s="446">
        <v>0.15</v>
      </c>
      <c r="I18" s="446"/>
      <c r="J18" s="8">
        <f aca="true" t="shared" si="22" ref="J18:J25">0.1*0.5*1*B18</f>
        <v>5</v>
      </c>
      <c r="K18" s="8">
        <f aca="true" t="shared" si="23" ref="K18:K25">SUM(0.1*0.5*2*B18)</f>
        <v>10</v>
      </c>
      <c r="L18" s="8">
        <v>15</v>
      </c>
      <c r="M18" s="70">
        <v>4.23</v>
      </c>
      <c r="N18" s="70">
        <v>3.4737</v>
      </c>
      <c r="O18" s="70">
        <v>6.492</v>
      </c>
      <c r="P18" s="70">
        <f t="shared" si="1"/>
        <v>759.1350000000001</v>
      </c>
      <c r="Q18" s="70">
        <f t="shared" si="2"/>
        <v>624.5250000000001</v>
      </c>
      <c r="R18" s="70">
        <f t="shared" si="8"/>
        <v>1383.66</v>
      </c>
      <c r="S18" s="70">
        <v>9.915</v>
      </c>
      <c r="T18" s="70">
        <v>1.095</v>
      </c>
      <c r="U18" s="70">
        <v>4.3359</v>
      </c>
      <c r="V18" s="70">
        <v>2</v>
      </c>
      <c r="W18" s="70">
        <v>2</v>
      </c>
      <c r="X18" s="70">
        <v>12.5039</v>
      </c>
      <c r="Y18" s="70">
        <f aca="true" t="shared" si="24" ref="Y18:Y25">SUM(S18+S17+T18+T17+U18+U17+V18+V17)/2*B18</f>
        <v>1683.7849999999996</v>
      </c>
      <c r="Z18" s="70">
        <f aca="true" t="shared" si="25" ref="Z18:Z25">(W17+W18+X17+X18)/2*B18</f>
        <v>1406.4399999999998</v>
      </c>
      <c r="AA18" s="70">
        <f t="shared" si="11"/>
        <v>3090.225</v>
      </c>
      <c r="AB18" s="8">
        <v>1.1234</v>
      </c>
      <c r="AC18" s="8">
        <v>0.5635</v>
      </c>
      <c r="AD18" s="8">
        <v>1.4426</v>
      </c>
      <c r="AE18" s="8">
        <f t="shared" si="12"/>
        <v>66.21799999999999</v>
      </c>
      <c r="AF18" s="8">
        <f t="shared" si="13"/>
        <v>54.786</v>
      </c>
      <c r="AG18" s="8">
        <f t="shared" si="3"/>
        <v>3.1295</v>
      </c>
      <c r="AH18" s="8">
        <f t="shared" si="14"/>
        <v>60.502</v>
      </c>
      <c r="AI18" s="79">
        <f t="shared" si="15"/>
        <v>14.137166941154069</v>
      </c>
      <c r="AJ18" s="79">
        <f t="shared" si="16"/>
        <v>7.0685834705770345</v>
      </c>
      <c r="AK18" s="79">
        <f t="shared" si="17"/>
        <v>75.91350000000001</v>
      </c>
      <c r="AL18" s="79">
        <f t="shared" si="17"/>
        <v>62.45250000000001</v>
      </c>
      <c r="AM18" s="65">
        <f t="shared" si="18"/>
        <v>42</v>
      </c>
      <c r="AN18" s="65">
        <f t="shared" si="19"/>
        <v>21</v>
      </c>
      <c r="AO18" s="84">
        <f t="shared" si="20"/>
        <v>228.49555921538757</v>
      </c>
      <c r="AP18" s="84">
        <f t="shared" si="21"/>
        <v>114.24777960769379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78"/>
    </row>
    <row r="19" spans="1:83" s="65" customFormat="1" ht="22.5" customHeight="1">
      <c r="A19" s="8" t="s">
        <v>749</v>
      </c>
      <c r="B19" s="8">
        <v>100</v>
      </c>
      <c r="C19" s="8">
        <v>74.4408</v>
      </c>
      <c r="D19" s="8">
        <v>18.1562</v>
      </c>
      <c r="E19" s="8">
        <f t="shared" si="4"/>
        <v>8293.15</v>
      </c>
      <c r="F19" s="8">
        <f t="shared" si="5"/>
        <v>1672.365</v>
      </c>
      <c r="G19" s="8">
        <f t="shared" si="0"/>
        <v>9965.515</v>
      </c>
      <c r="H19" s="446">
        <v>0.15</v>
      </c>
      <c r="I19" s="446"/>
      <c r="J19" s="8">
        <f t="shared" si="22"/>
        <v>5</v>
      </c>
      <c r="K19" s="8">
        <f t="shared" si="23"/>
        <v>10</v>
      </c>
      <c r="L19" s="8">
        <v>15</v>
      </c>
      <c r="M19" s="70">
        <v>4.23</v>
      </c>
      <c r="N19" s="70">
        <v>3.8461</v>
      </c>
      <c r="O19" s="70">
        <v>7.1347</v>
      </c>
      <c r="P19" s="70">
        <f t="shared" si="1"/>
        <v>788.9900000000001</v>
      </c>
      <c r="Q19" s="70">
        <f t="shared" si="2"/>
        <v>681.335</v>
      </c>
      <c r="R19" s="70">
        <f t="shared" si="8"/>
        <v>1470.325</v>
      </c>
      <c r="S19" s="70">
        <v>9.915</v>
      </c>
      <c r="T19" s="70">
        <v>1.095</v>
      </c>
      <c r="U19" s="70">
        <v>5.5873</v>
      </c>
      <c r="V19" s="70">
        <v>2</v>
      </c>
      <c r="W19" s="70">
        <v>2</v>
      </c>
      <c r="X19" s="70">
        <v>14.0067</v>
      </c>
      <c r="Y19" s="70">
        <f t="shared" si="24"/>
        <v>1797.1599999999994</v>
      </c>
      <c r="Z19" s="70">
        <f t="shared" si="25"/>
        <v>1525.5300000000002</v>
      </c>
      <c r="AA19" s="70">
        <f t="shared" si="11"/>
        <v>3322.69</v>
      </c>
      <c r="AB19" s="8">
        <v>1.1234</v>
      </c>
      <c r="AC19" s="8">
        <v>0.7102</v>
      </c>
      <c r="AD19" s="8">
        <v>1.5893</v>
      </c>
      <c r="AE19" s="8">
        <f t="shared" si="12"/>
        <v>70.41</v>
      </c>
      <c r="AF19" s="8">
        <f t="shared" si="13"/>
        <v>60.63800000000001</v>
      </c>
      <c r="AG19" s="8">
        <f t="shared" si="3"/>
        <v>3.4229000000000003</v>
      </c>
      <c r="AH19" s="8">
        <f t="shared" si="14"/>
        <v>65.524</v>
      </c>
      <c r="AI19" s="79">
        <f t="shared" si="15"/>
        <v>14.137166941154069</v>
      </c>
      <c r="AJ19" s="79">
        <f t="shared" si="16"/>
        <v>7.0685834705770345</v>
      </c>
      <c r="AK19" s="79">
        <f t="shared" si="17"/>
        <v>78.89900000000002</v>
      </c>
      <c r="AL19" s="79">
        <f t="shared" si="17"/>
        <v>68.1335</v>
      </c>
      <c r="AM19" s="65">
        <f t="shared" si="18"/>
        <v>42</v>
      </c>
      <c r="AN19" s="65">
        <f t="shared" si="19"/>
        <v>21</v>
      </c>
      <c r="AO19" s="84">
        <f t="shared" si="20"/>
        <v>228.49555921538757</v>
      </c>
      <c r="AP19" s="84">
        <f t="shared" si="21"/>
        <v>114.24777960769379</v>
      </c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78"/>
    </row>
    <row r="20" spans="1:83" s="65" customFormat="1" ht="22.5" customHeight="1">
      <c r="A20" s="8" t="s">
        <v>750</v>
      </c>
      <c r="B20" s="8">
        <v>100</v>
      </c>
      <c r="C20" s="8">
        <v>72.3637</v>
      </c>
      <c r="D20" s="8">
        <v>19.1966</v>
      </c>
      <c r="E20" s="8">
        <f t="shared" si="4"/>
        <v>7340.224999999999</v>
      </c>
      <c r="F20" s="8">
        <f t="shared" si="5"/>
        <v>1867.64</v>
      </c>
      <c r="G20" s="8">
        <f t="shared" si="0"/>
        <v>9207.865</v>
      </c>
      <c r="H20" s="446">
        <v>0.15</v>
      </c>
      <c r="I20" s="446"/>
      <c r="J20" s="8">
        <f t="shared" si="22"/>
        <v>5</v>
      </c>
      <c r="K20" s="8">
        <f t="shared" si="23"/>
        <v>10</v>
      </c>
      <c r="L20" s="8">
        <v>15</v>
      </c>
      <c r="M20" s="70">
        <v>4.23</v>
      </c>
      <c r="N20" s="70">
        <v>3.8811</v>
      </c>
      <c r="O20" s="70">
        <v>7.1792</v>
      </c>
      <c r="P20" s="70">
        <f t="shared" si="1"/>
        <v>809.36</v>
      </c>
      <c r="Q20" s="70">
        <f t="shared" si="2"/>
        <v>715.695</v>
      </c>
      <c r="R20" s="70">
        <f t="shared" si="8"/>
        <v>1525.055</v>
      </c>
      <c r="S20" s="70">
        <v>9.915</v>
      </c>
      <c r="T20" s="70">
        <v>1.095</v>
      </c>
      <c r="U20" s="70">
        <v>5.675</v>
      </c>
      <c r="V20" s="70">
        <v>2</v>
      </c>
      <c r="W20" s="70">
        <v>2</v>
      </c>
      <c r="X20" s="70">
        <v>14.2568</v>
      </c>
      <c r="Y20" s="70">
        <f t="shared" si="24"/>
        <v>1864.115</v>
      </c>
      <c r="Z20" s="70">
        <f t="shared" si="25"/>
        <v>1613.175</v>
      </c>
      <c r="AA20" s="70">
        <f t="shared" si="11"/>
        <v>3477.289999999999</v>
      </c>
      <c r="AB20" s="8">
        <v>1.1234</v>
      </c>
      <c r="AC20" s="8">
        <v>0.7197</v>
      </c>
      <c r="AD20" s="8">
        <v>1.5988</v>
      </c>
      <c r="AE20" s="8">
        <f t="shared" si="12"/>
        <v>73.53399999999999</v>
      </c>
      <c r="AF20" s="8">
        <f t="shared" si="13"/>
        <v>63.762</v>
      </c>
      <c r="AG20" s="8">
        <f t="shared" si="3"/>
        <v>3.4419000000000004</v>
      </c>
      <c r="AH20" s="8">
        <f t="shared" si="14"/>
        <v>68.64800000000001</v>
      </c>
      <c r="AI20" s="79">
        <f t="shared" si="15"/>
        <v>14.137166941154069</v>
      </c>
      <c r="AJ20" s="79">
        <f t="shared" si="16"/>
        <v>7.0685834705770345</v>
      </c>
      <c r="AK20" s="79">
        <f t="shared" si="17"/>
        <v>80.936</v>
      </c>
      <c r="AL20" s="79">
        <f t="shared" si="17"/>
        <v>71.5695</v>
      </c>
      <c r="AM20" s="65">
        <f t="shared" si="18"/>
        <v>42</v>
      </c>
      <c r="AN20" s="65">
        <f t="shared" si="19"/>
        <v>21</v>
      </c>
      <c r="AO20" s="84">
        <f t="shared" si="20"/>
        <v>228.49555921538757</v>
      </c>
      <c r="AP20" s="84">
        <f t="shared" si="21"/>
        <v>114.24777960769379</v>
      </c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78"/>
    </row>
    <row r="21" spans="1:83" s="65" customFormat="1" ht="22.5" customHeight="1">
      <c r="A21" s="8" t="s">
        <v>751</v>
      </c>
      <c r="B21" s="8">
        <v>100</v>
      </c>
      <c r="C21" s="8">
        <v>62.4363</v>
      </c>
      <c r="D21" s="8">
        <v>14.174</v>
      </c>
      <c r="E21" s="8">
        <f t="shared" si="4"/>
        <v>6740.000000000001</v>
      </c>
      <c r="F21" s="8">
        <f t="shared" si="5"/>
        <v>1668.5299999999997</v>
      </c>
      <c r="G21" s="8">
        <f t="shared" si="0"/>
        <v>8408.529999999999</v>
      </c>
      <c r="H21" s="446">
        <v>0.15</v>
      </c>
      <c r="I21" s="446"/>
      <c r="J21" s="8">
        <f t="shared" si="22"/>
        <v>5</v>
      </c>
      <c r="K21" s="8">
        <f t="shared" si="23"/>
        <v>10</v>
      </c>
      <c r="L21" s="8">
        <v>15</v>
      </c>
      <c r="M21" s="70">
        <v>4.23</v>
      </c>
      <c r="N21" s="70">
        <v>3.2941</v>
      </c>
      <c r="O21" s="70">
        <v>6.1021</v>
      </c>
      <c r="P21" s="70">
        <f t="shared" si="1"/>
        <v>781.7600000000001</v>
      </c>
      <c r="Q21" s="70">
        <f t="shared" si="2"/>
        <v>664.0649999999999</v>
      </c>
      <c r="R21" s="70">
        <f t="shared" si="8"/>
        <v>1445.825</v>
      </c>
      <c r="S21" s="70">
        <v>9.915</v>
      </c>
      <c r="T21" s="70">
        <v>1.095</v>
      </c>
      <c r="U21" s="70">
        <v>3.5371</v>
      </c>
      <c r="V21" s="70">
        <v>2</v>
      </c>
      <c r="W21" s="70">
        <v>2</v>
      </c>
      <c r="X21" s="70">
        <v>11.6028</v>
      </c>
      <c r="Y21" s="70">
        <f t="shared" si="24"/>
        <v>1761.6049999999998</v>
      </c>
      <c r="Z21" s="70">
        <f t="shared" si="25"/>
        <v>1492.98</v>
      </c>
      <c r="AA21" s="70">
        <f t="shared" si="11"/>
        <v>3254.585</v>
      </c>
      <c r="AB21" s="8">
        <v>1.1234</v>
      </c>
      <c r="AC21" s="8">
        <v>0.5006</v>
      </c>
      <c r="AD21" s="8">
        <v>1.3285</v>
      </c>
      <c r="AE21" s="8">
        <f t="shared" si="12"/>
        <v>69.342</v>
      </c>
      <c r="AF21" s="8">
        <f t="shared" si="13"/>
        <v>58.54599999999999</v>
      </c>
      <c r="AG21" s="8">
        <f t="shared" si="3"/>
        <v>2.9524999999999997</v>
      </c>
      <c r="AH21" s="8">
        <f t="shared" si="14"/>
        <v>63.944</v>
      </c>
      <c r="AI21" s="79">
        <f t="shared" si="15"/>
        <v>14.137166941154069</v>
      </c>
      <c r="AJ21" s="79">
        <f t="shared" si="16"/>
        <v>7.0685834705770345</v>
      </c>
      <c r="AK21" s="79">
        <f t="shared" si="17"/>
        <v>78.17600000000002</v>
      </c>
      <c r="AL21" s="79">
        <f t="shared" si="17"/>
        <v>66.4065</v>
      </c>
      <c r="AM21" s="65">
        <f t="shared" si="18"/>
        <v>42</v>
      </c>
      <c r="AN21" s="65">
        <f t="shared" si="19"/>
        <v>21</v>
      </c>
      <c r="AO21" s="84">
        <f t="shared" si="20"/>
        <v>228.49555921538757</v>
      </c>
      <c r="AP21" s="84">
        <f t="shared" si="21"/>
        <v>114.24777960769379</v>
      </c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78"/>
    </row>
    <row r="22" spans="1:83" s="65" customFormat="1" ht="22.5" customHeight="1">
      <c r="A22" s="8" t="s">
        <v>752</v>
      </c>
      <c r="B22" s="8">
        <v>100</v>
      </c>
      <c r="C22" s="8">
        <v>66.644432</v>
      </c>
      <c r="D22" s="8">
        <v>25.434144</v>
      </c>
      <c r="E22" s="8">
        <f t="shared" si="4"/>
        <v>6454.0366</v>
      </c>
      <c r="F22" s="8">
        <f t="shared" si="5"/>
        <v>1980.4071999999999</v>
      </c>
      <c r="G22" s="8">
        <f t="shared" si="0"/>
        <v>8434.4438</v>
      </c>
      <c r="H22" s="446">
        <v>0.15</v>
      </c>
      <c r="I22" s="446"/>
      <c r="J22" s="8">
        <f t="shared" si="22"/>
        <v>5</v>
      </c>
      <c r="K22" s="8">
        <f t="shared" si="23"/>
        <v>10</v>
      </c>
      <c r="L22" s="8">
        <v>15</v>
      </c>
      <c r="M22" s="70">
        <v>4.23</v>
      </c>
      <c r="N22" s="70">
        <v>3.674832</v>
      </c>
      <c r="O22" s="70">
        <v>6.903808</v>
      </c>
      <c r="P22" s="70">
        <f t="shared" si="1"/>
        <v>771.4466000000001</v>
      </c>
      <c r="Q22" s="70">
        <f t="shared" si="2"/>
        <v>650.2954</v>
      </c>
      <c r="R22" s="70">
        <f t="shared" si="8"/>
        <v>1421.742</v>
      </c>
      <c r="S22" s="70">
        <v>9.62816</v>
      </c>
      <c r="T22" s="70">
        <v>1.095</v>
      </c>
      <c r="U22" s="70">
        <v>4.018672</v>
      </c>
      <c r="V22" s="70">
        <v>2</v>
      </c>
      <c r="W22" s="70">
        <v>2</v>
      </c>
      <c r="X22" s="70">
        <v>14.869568</v>
      </c>
      <c r="Y22" s="70">
        <f t="shared" si="24"/>
        <v>1664.4465999999998</v>
      </c>
      <c r="Z22" s="70">
        <f t="shared" si="25"/>
        <v>1523.6184</v>
      </c>
      <c r="AA22" s="70">
        <f t="shared" si="11"/>
        <v>3188.0650000000005</v>
      </c>
      <c r="AB22" s="8">
        <v>1.1234</v>
      </c>
      <c r="AC22" s="8">
        <v>0.5006</v>
      </c>
      <c r="AD22" s="8">
        <v>1.33044</v>
      </c>
      <c r="AE22" s="8">
        <f t="shared" si="12"/>
        <v>64.96</v>
      </c>
      <c r="AF22" s="8">
        <f t="shared" si="13"/>
        <v>53.1788</v>
      </c>
      <c r="AG22" s="8">
        <f t="shared" si="3"/>
        <v>2.95444</v>
      </c>
      <c r="AH22" s="8">
        <f t="shared" si="14"/>
        <v>59.069399999999995</v>
      </c>
      <c r="AI22" s="79">
        <f t="shared" si="15"/>
        <v>14.137166941154069</v>
      </c>
      <c r="AJ22" s="79">
        <f t="shared" si="16"/>
        <v>7.0685834705770345</v>
      </c>
      <c r="AK22" s="79">
        <f t="shared" si="17"/>
        <v>77.14466000000002</v>
      </c>
      <c r="AL22" s="79">
        <f t="shared" si="17"/>
        <v>65.02954</v>
      </c>
      <c r="AM22" s="65">
        <f t="shared" si="18"/>
        <v>42</v>
      </c>
      <c r="AN22" s="65">
        <f t="shared" si="19"/>
        <v>21</v>
      </c>
      <c r="AO22" s="84">
        <f t="shared" si="20"/>
        <v>228.49555921538757</v>
      </c>
      <c r="AP22" s="84">
        <f t="shared" si="21"/>
        <v>114.24777960769379</v>
      </c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78"/>
    </row>
    <row r="23" spans="1:83" s="65" customFormat="1" ht="22.5" customHeight="1">
      <c r="A23" s="8" t="s">
        <v>753</v>
      </c>
      <c r="B23" s="8">
        <v>100</v>
      </c>
      <c r="C23" s="8">
        <v>48.9696</v>
      </c>
      <c r="D23" s="8">
        <v>18.2301</v>
      </c>
      <c r="E23" s="8">
        <f t="shared" si="4"/>
        <v>5780.701599999999</v>
      </c>
      <c r="F23" s="8">
        <f t="shared" si="5"/>
        <v>2183.2122</v>
      </c>
      <c r="G23" s="8">
        <f t="shared" si="0"/>
        <v>7963.9138</v>
      </c>
      <c r="H23" s="446">
        <v>0.15</v>
      </c>
      <c r="I23" s="446"/>
      <c r="J23" s="8">
        <f t="shared" si="22"/>
        <v>5</v>
      </c>
      <c r="K23" s="8">
        <f t="shared" si="23"/>
        <v>10</v>
      </c>
      <c r="L23" s="8">
        <v>15</v>
      </c>
      <c r="M23" s="70">
        <v>4.23</v>
      </c>
      <c r="N23" s="70">
        <v>3.7402</v>
      </c>
      <c r="O23" s="70">
        <v>6.9586</v>
      </c>
      <c r="P23" s="70">
        <f t="shared" si="1"/>
        <v>793.7516</v>
      </c>
      <c r="Q23" s="70">
        <f t="shared" si="2"/>
        <v>693.1203999999999</v>
      </c>
      <c r="R23" s="70">
        <f t="shared" si="8"/>
        <v>1486.872</v>
      </c>
      <c r="S23" s="70">
        <v>9.915</v>
      </c>
      <c r="T23" s="70">
        <v>1.095</v>
      </c>
      <c r="U23" s="70">
        <v>5.2423</v>
      </c>
      <c r="V23" s="70">
        <v>2</v>
      </c>
      <c r="W23" s="70">
        <v>2</v>
      </c>
      <c r="X23" s="70">
        <v>13.5777</v>
      </c>
      <c r="Y23" s="70">
        <f t="shared" si="24"/>
        <v>1749.7065999999998</v>
      </c>
      <c r="Z23" s="70">
        <f t="shared" si="25"/>
        <v>1622.3634</v>
      </c>
      <c r="AA23" s="70">
        <f t="shared" si="11"/>
        <v>3372.07</v>
      </c>
      <c r="AB23" s="8">
        <v>1.1234</v>
      </c>
      <c r="AC23" s="8">
        <v>0.6721</v>
      </c>
      <c r="AD23" s="8">
        <v>1.5512</v>
      </c>
      <c r="AE23" s="8">
        <f t="shared" si="12"/>
        <v>68.39</v>
      </c>
      <c r="AF23" s="8">
        <f t="shared" si="13"/>
        <v>57.632799999999996</v>
      </c>
      <c r="AG23" s="8">
        <f t="shared" si="3"/>
        <v>3.3467000000000002</v>
      </c>
      <c r="AH23" s="8">
        <f t="shared" si="14"/>
        <v>63.0114</v>
      </c>
      <c r="AI23" s="79">
        <f t="shared" si="15"/>
        <v>14.137166941154069</v>
      </c>
      <c r="AJ23" s="79">
        <f t="shared" si="16"/>
        <v>7.0685834705770345</v>
      </c>
      <c r="AK23" s="79">
        <f aca="true" t="shared" si="26" ref="AK23:AL25">P23/10</f>
        <v>79.37516000000001</v>
      </c>
      <c r="AL23" s="79">
        <f t="shared" si="26"/>
        <v>69.31204</v>
      </c>
      <c r="AM23" s="65">
        <f t="shared" si="18"/>
        <v>42</v>
      </c>
      <c r="AN23" s="65">
        <f t="shared" si="19"/>
        <v>21</v>
      </c>
      <c r="AO23" s="84">
        <f t="shared" si="20"/>
        <v>228.49555921538757</v>
      </c>
      <c r="AP23" s="84">
        <f t="shared" si="21"/>
        <v>114.24777960769379</v>
      </c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78"/>
    </row>
    <row r="24" spans="1:83" s="65" customFormat="1" ht="22.5" customHeight="1">
      <c r="A24" s="8" t="s">
        <v>754</v>
      </c>
      <c r="B24" s="8">
        <v>100</v>
      </c>
      <c r="C24" s="8">
        <v>33.1043</v>
      </c>
      <c r="D24" s="8">
        <v>13.5676</v>
      </c>
      <c r="E24" s="8">
        <f t="shared" si="4"/>
        <v>4103.695000000001</v>
      </c>
      <c r="F24" s="8">
        <f t="shared" si="5"/>
        <v>1589.885</v>
      </c>
      <c r="G24" s="8">
        <f t="shared" si="0"/>
        <v>5693.58</v>
      </c>
      <c r="H24" s="446">
        <v>0.15</v>
      </c>
      <c r="I24" s="446"/>
      <c r="J24" s="8">
        <f t="shared" si="22"/>
        <v>5</v>
      </c>
      <c r="K24" s="8">
        <f t="shared" si="23"/>
        <v>10</v>
      </c>
      <c r="L24" s="8">
        <v>15</v>
      </c>
      <c r="M24" s="70">
        <v>4.23</v>
      </c>
      <c r="N24" s="70">
        <v>3.3171</v>
      </c>
      <c r="O24" s="70">
        <v>6.1539</v>
      </c>
      <c r="P24" s="70">
        <f t="shared" si="1"/>
        <v>775.865</v>
      </c>
      <c r="Q24" s="70">
        <f t="shared" si="2"/>
        <v>655.625</v>
      </c>
      <c r="R24" s="70">
        <f t="shared" si="8"/>
        <v>1431.4900000000002</v>
      </c>
      <c r="S24" s="70">
        <v>9.4325</v>
      </c>
      <c r="T24" s="70">
        <v>1.095</v>
      </c>
      <c r="U24" s="8">
        <v>3.6449</v>
      </c>
      <c r="V24" s="70">
        <v>2</v>
      </c>
      <c r="W24" s="70">
        <v>2</v>
      </c>
      <c r="X24" s="70">
        <v>11.7689</v>
      </c>
      <c r="Y24" s="70">
        <f t="shared" si="24"/>
        <v>1721.2349999999997</v>
      </c>
      <c r="Z24" s="70">
        <f t="shared" si="25"/>
        <v>1467.3300000000002</v>
      </c>
      <c r="AA24" s="70">
        <f t="shared" si="11"/>
        <v>3188.5649999999996</v>
      </c>
      <c r="AB24" s="8">
        <v>1.1234</v>
      </c>
      <c r="AC24" s="8">
        <v>0.5006</v>
      </c>
      <c r="AD24" s="8">
        <v>1.3441</v>
      </c>
      <c r="AE24" s="8">
        <f t="shared" si="12"/>
        <v>68.39</v>
      </c>
      <c r="AF24" s="8">
        <f t="shared" si="13"/>
        <v>57.90599999999999</v>
      </c>
      <c r="AG24" s="8">
        <f t="shared" si="3"/>
        <v>2.9680999999999997</v>
      </c>
      <c r="AH24" s="8">
        <f t="shared" si="14"/>
        <v>63.147999999999996</v>
      </c>
      <c r="AI24" s="79">
        <f t="shared" si="15"/>
        <v>14.137166941154069</v>
      </c>
      <c r="AJ24" s="79">
        <f t="shared" si="16"/>
        <v>7.0685834705770345</v>
      </c>
      <c r="AK24" s="79">
        <f t="shared" si="26"/>
        <v>77.5865</v>
      </c>
      <c r="AL24" s="79">
        <f t="shared" si="26"/>
        <v>65.5625</v>
      </c>
      <c r="AM24" s="65">
        <f t="shared" si="18"/>
        <v>42</v>
      </c>
      <c r="AN24" s="65">
        <f t="shared" si="19"/>
        <v>21</v>
      </c>
      <c r="AO24" s="84">
        <f t="shared" si="20"/>
        <v>228.49555921538757</v>
      </c>
      <c r="AP24" s="84">
        <f t="shared" si="21"/>
        <v>114.24777960769379</v>
      </c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78"/>
    </row>
    <row r="25" spans="1:83" s="65" customFormat="1" ht="22.5" customHeight="1">
      <c r="A25" s="8" t="s">
        <v>667</v>
      </c>
      <c r="B25" s="8">
        <v>116</v>
      </c>
      <c r="C25" s="8">
        <v>33.1043</v>
      </c>
      <c r="D25" s="8">
        <v>13.5676</v>
      </c>
      <c r="E25" s="8">
        <f t="shared" si="4"/>
        <v>3840.0988</v>
      </c>
      <c r="F25" s="8">
        <f t="shared" si="5"/>
        <v>1573.8416</v>
      </c>
      <c r="G25" s="8">
        <f t="shared" si="0"/>
        <v>4667.1900000000005</v>
      </c>
      <c r="H25" s="446">
        <v>0.15</v>
      </c>
      <c r="I25" s="446"/>
      <c r="J25" s="8">
        <f t="shared" si="22"/>
        <v>5.800000000000001</v>
      </c>
      <c r="K25" s="8">
        <f t="shared" si="23"/>
        <v>11.600000000000001</v>
      </c>
      <c r="L25" s="8">
        <f>H25*B25</f>
        <v>17.4</v>
      </c>
      <c r="M25" s="70">
        <v>4.23</v>
      </c>
      <c r="N25" s="70">
        <v>3.3171</v>
      </c>
      <c r="O25" s="70">
        <v>6.1539</v>
      </c>
      <c r="P25" s="70">
        <f t="shared" si="1"/>
        <v>875.4636</v>
      </c>
      <c r="Q25" s="70">
        <f t="shared" si="2"/>
        <v>713.8524</v>
      </c>
      <c r="R25" s="70">
        <f t="shared" si="8"/>
        <v>1370.1000000000001</v>
      </c>
      <c r="S25" s="70">
        <v>9.4325</v>
      </c>
      <c r="T25" s="70">
        <v>1.095</v>
      </c>
      <c r="U25" s="8">
        <v>3.6449</v>
      </c>
      <c r="V25" s="70">
        <v>2</v>
      </c>
      <c r="W25" s="70">
        <v>2</v>
      </c>
      <c r="X25" s="70">
        <v>11.7689</v>
      </c>
      <c r="Y25" s="70">
        <f t="shared" si="24"/>
        <v>1875.9983999999995</v>
      </c>
      <c r="Z25" s="70">
        <f t="shared" si="25"/>
        <v>1597.1924000000001</v>
      </c>
      <c r="AA25" s="70">
        <f t="shared" si="11"/>
        <v>2994.1299999999997</v>
      </c>
      <c r="AB25" s="8">
        <v>1.1234</v>
      </c>
      <c r="AC25" s="8">
        <v>0.5006</v>
      </c>
      <c r="AD25" s="8">
        <v>1.3441</v>
      </c>
      <c r="AE25" s="8">
        <f t="shared" si="12"/>
        <v>75.3536</v>
      </c>
      <c r="AF25" s="8">
        <f t="shared" si="13"/>
        <v>62.366240000000005</v>
      </c>
      <c r="AG25" s="8">
        <f t="shared" si="3"/>
        <v>2.9680999999999997</v>
      </c>
      <c r="AH25" s="8">
        <f t="shared" si="14"/>
        <v>59.361999999999995</v>
      </c>
      <c r="AI25" s="79">
        <f t="shared" si="15"/>
        <v>16.39911365173872</v>
      </c>
      <c r="AJ25" s="79">
        <f t="shared" si="16"/>
        <v>8.19955682586936</v>
      </c>
      <c r="AK25" s="79">
        <f t="shared" si="26"/>
        <v>87.54636</v>
      </c>
      <c r="AL25" s="79">
        <f t="shared" si="26"/>
        <v>71.38524</v>
      </c>
      <c r="AM25" s="65">
        <f t="shared" si="18"/>
        <v>48.720000000000006</v>
      </c>
      <c r="AN25" s="65">
        <f t="shared" si="19"/>
        <v>24.360000000000003</v>
      </c>
      <c r="AO25" s="84">
        <f t="shared" si="20"/>
        <v>265.05484868984956</v>
      </c>
      <c r="AP25" s="84">
        <f t="shared" si="21"/>
        <v>132.52742434492478</v>
      </c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78"/>
    </row>
    <row r="26" spans="1:83" s="65" customFormat="1" ht="22.5" customHeight="1">
      <c r="A26" s="8" t="s">
        <v>128</v>
      </c>
      <c r="B26" s="8">
        <f>SUM(B4:B25)</f>
        <v>2116</v>
      </c>
      <c r="C26" s="8"/>
      <c r="D26" s="8"/>
      <c r="E26" s="8">
        <f>SUM(E5:E25)</f>
        <v>154160.72500000003</v>
      </c>
      <c r="F26" s="8">
        <f>SUM(F5:F25)</f>
        <v>54610.6552</v>
      </c>
      <c r="G26" s="8">
        <f>SUM(G5:G25)</f>
        <v>208024.62980000002</v>
      </c>
      <c r="H26" s="8"/>
      <c r="I26" s="8"/>
      <c r="J26" s="8">
        <f>SUM(J5:J25)</f>
        <v>105.8</v>
      </c>
      <c r="K26" s="8">
        <f>SUM(K5:K25)</f>
        <v>211.6</v>
      </c>
      <c r="L26" s="8"/>
      <c r="M26" s="70"/>
      <c r="N26" s="70"/>
      <c r="O26" s="70"/>
      <c r="P26" s="8">
        <f>SUM(P5:P25)</f>
        <v>16916.9982</v>
      </c>
      <c r="Q26" s="8">
        <f>SUM(Q5:Q25)</f>
        <v>13704.868999999999</v>
      </c>
      <c r="R26" s="8">
        <f>SUM(R5:R25)</f>
        <v>30402.6512</v>
      </c>
      <c r="S26" s="70"/>
      <c r="T26" s="70"/>
      <c r="U26" s="8"/>
      <c r="V26" s="70"/>
      <c r="W26" s="70"/>
      <c r="X26" s="70"/>
      <c r="Y26" s="8">
        <f>SUM(Y5:Y25)</f>
        <v>36028.6092</v>
      </c>
      <c r="Z26" s="8">
        <f>SUM(Z5:Z25)</f>
        <v>32423.850199999993</v>
      </c>
      <c r="AA26" s="8">
        <f>SUM(AA5:AA25)</f>
        <v>67973.3986</v>
      </c>
      <c r="AB26" s="8"/>
      <c r="AC26" s="8"/>
      <c r="AD26" s="8"/>
      <c r="AE26" s="8">
        <f>SUM(AE5:AE25)</f>
        <v>1442.0268000000003</v>
      </c>
      <c r="AF26" s="8">
        <f>SUM(AF5:AF25)</f>
        <v>1202.2746400000003</v>
      </c>
      <c r="AG26" s="8"/>
      <c r="AH26" s="8">
        <f>SUM(AH4:AH25)</f>
        <v>1312.6528000000003</v>
      </c>
      <c r="AI26" s="79">
        <f aca="true" t="shared" si="27" ref="AI26:AP26">SUM(AI5:AI25)</f>
        <v>299.1424524748202</v>
      </c>
      <c r="AJ26" s="79">
        <f t="shared" si="27"/>
        <v>149.5712262374101</v>
      </c>
      <c r="AK26" s="8">
        <f t="shared" si="27"/>
        <v>1691.6998200000005</v>
      </c>
      <c r="AL26" s="8">
        <f t="shared" si="27"/>
        <v>1370.4869</v>
      </c>
      <c r="AM26" s="8">
        <f t="shared" si="27"/>
        <v>888.72</v>
      </c>
      <c r="AN26" s="8">
        <f t="shared" si="27"/>
        <v>444.36</v>
      </c>
      <c r="AO26" s="8">
        <f t="shared" si="27"/>
        <v>4834.9660329975995</v>
      </c>
      <c r="AP26" s="8">
        <f t="shared" si="27"/>
        <v>2417.4830164987998</v>
      </c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78"/>
    </row>
    <row r="27" spans="1:83" s="65" customFormat="1" ht="22.5" customHeight="1">
      <c r="A27" s="71"/>
      <c r="B27" s="71"/>
      <c r="C27" s="71"/>
      <c r="D27" s="71"/>
      <c r="E27" s="71"/>
      <c r="F27" s="71">
        <f>SUM(E26:F26)</f>
        <v>208771.38020000004</v>
      </c>
      <c r="G27" s="71"/>
      <c r="H27" s="71"/>
      <c r="I27" s="71"/>
      <c r="J27" s="71"/>
      <c r="K27" s="71">
        <f>SUM(J26:K26)</f>
        <v>317.4</v>
      </c>
      <c r="L27" s="71"/>
      <c r="M27" s="74"/>
      <c r="N27" s="74"/>
      <c r="O27" s="74"/>
      <c r="P27" s="74"/>
      <c r="Q27" s="74">
        <f>SUM(P26:Q26)</f>
        <v>30621.8672</v>
      </c>
      <c r="R27" s="74"/>
      <c r="S27" s="74"/>
      <c r="T27" s="74"/>
      <c r="U27" s="71"/>
      <c r="V27" s="74"/>
      <c r="W27" s="74"/>
      <c r="X27" s="74"/>
      <c r="Y27" s="74"/>
      <c r="Z27" s="74">
        <f>SUM(Y26:Z26)</f>
        <v>68452.45939999999</v>
      </c>
      <c r="AA27" s="74"/>
      <c r="AB27" s="71"/>
      <c r="AC27" s="71"/>
      <c r="AD27" s="71"/>
      <c r="AE27" s="74"/>
      <c r="AF27" s="74">
        <f>SUM(AE26:AF26)</f>
        <v>2644.3014400000006</v>
      </c>
      <c r="AG27" s="71"/>
      <c r="AH27" s="71"/>
      <c r="AI27" s="80"/>
      <c r="AJ27" s="80">
        <f>SUM(AI26:AJ26)</f>
        <v>448.71367871223026</v>
      </c>
      <c r="AK27" s="70"/>
      <c r="AL27" s="70">
        <f>SUM(AK26:AL26)</f>
        <v>3062.1867200000006</v>
      </c>
      <c r="AN27" s="70">
        <f>SUM(AM26:AN26)</f>
        <v>1333.08</v>
      </c>
      <c r="AP27" s="70">
        <f>SUM(AO26:AP26)</f>
        <v>7252.449049496399</v>
      </c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78"/>
    </row>
    <row r="28" spans="1:83" s="65" customFormat="1" ht="22.5" customHeight="1">
      <c r="A28" s="567" t="s">
        <v>755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81"/>
      <c r="AJ28" s="81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78"/>
    </row>
    <row r="29" spans="1:83" s="65" customFormat="1" ht="22.5" customHeight="1">
      <c r="A29" s="560" t="s">
        <v>426</v>
      </c>
      <c r="B29" s="560" t="s">
        <v>632</v>
      </c>
      <c r="C29" s="566" t="s">
        <v>713</v>
      </c>
      <c r="D29" s="564"/>
      <c r="E29" s="564" t="s">
        <v>634</v>
      </c>
      <c r="F29" s="565"/>
      <c r="G29" s="560" t="s">
        <v>714</v>
      </c>
      <c r="H29" s="560" t="s">
        <v>715</v>
      </c>
      <c r="I29" s="560"/>
      <c r="J29" s="566" t="s">
        <v>716</v>
      </c>
      <c r="K29" s="565"/>
      <c r="L29" s="560" t="s">
        <v>717</v>
      </c>
      <c r="M29" s="566" t="s">
        <v>718</v>
      </c>
      <c r="N29" s="564"/>
      <c r="O29" s="564"/>
      <c r="P29" s="564" t="s">
        <v>719</v>
      </c>
      <c r="Q29" s="565"/>
      <c r="R29" s="559" t="s">
        <v>720</v>
      </c>
      <c r="S29" s="560" t="s">
        <v>721</v>
      </c>
      <c r="T29" s="560"/>
      <c r="U29" s="560"/>
      <c r="V29" s="560"/>
      <c r="W29" s="560"/>
      <c r="X29" s="560"/>
      <c r="Y29" s="566" t="s">
        <v>637</v>
      </c>
      <c r="Z29" s="565"/>
      <c r="AA29" s="560" t="s">
        <v>722</v>
      </c>
      <c r="AB29" s="562" t="s">
        <v>723</v>
      </c>
      <c r="AC29" s="563"/>
      <c r="AD29" s="563"/>
      <c r="AE29" s="563" t="s">
        <v>724</v>
      </c>
      <c r="AF29" s="563"/>
      <c r="AG29" s="77"/>
      <c r="AH29" s="78"/>
      <c r="AI29" s="446" t="s">
        <v>725</v>
      </c>
      <c r="AJ29" s="446"/>
      <c r="AK29" s="446" t="s">
        <v>176</v>
      </c>
      <c r="AL29" s="446"/>
      <c r="AM29" s="446" t="s">
        <v>177</v>
      </c>
      <c r="AN29" s="446"/>
      <c r="AO29" s="446" t="s">
        <v>89</v>
      </c>
      <c r="AP29" s="44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78"/>
    </row>
    <row r="30" spans="1:83" s="65" customFormat="1" ht="22.5" customHeight="1">
      <c r="A30" s="560"/>
      <c r="B30" s="560"/>
      <c r="C30" s="70" t="s">
        <v>461</v>
      </c>
      <c r="D30" s="70" t="s">
        <v>460</v>
      </c>
      <c r="E30" s="8" t="s">
        <v>461</v>
      </c>
      <c r="F30" s="8" t="s">
        <v>460</v>
      </c>
      <c r="G30" s="560"/>
      <c r="H30" s="560"/>
      <c r="I30" s="560"/>
      <c r="J30" s="70" t="s">
        <v>461</v>
      </c>
      <c r="K30" s="70" t="s">
        <v>460</v>
      </c>
      <c r="L30" s="560"/>
      <c r="M30" s="70" t="s">
        <v>726</v>
      </c>
      <c r="N30" s="70" t="s">
        <v>727</v>
      </c>
      <c r="O30" s="70" t="s">
        <v>460</v>
      </c>
      <c r="P30" s="8" t="s">
        <v>461</v>
      </c>
      <c r="Q30" s="8" t="s">
        <v>460</v>
      </c>
      <c r="R30" s="560"/>
      <c r="S30" s="70" t="s">
        <v>728</v>
      </c>
      <c r="T30" s="70" t="s">
        <v>729</v>
      </c>
      <c r="U30" s="70" t="s">
        <v>730</v>
      </c>
      <c r="V30" s="70" t="s">
        <v>731</v>
      </c>
      <c r="W30" s="70" t="s">
        <v>647</v>
      </c>
      <c r="X30" s="70" t="s">
        <v>648</v>
      </c>
      <c r="Y30" s="8" t="s">
        <v>461</v>
      </c>
      <c r="Z30" s="8" t="s">
        <v>460</v>
      </c>
      <c r="AA30" s="560"/>
      <c r="AB30" s="8" t="s">
        <v>726</v>
      </c>
      <c r="AC30" s="8" t="s">
        <v>727</v>
      </c>
      <c r="AD30" s="8" t="s">
        <v>460</v>
      </c>
      <c r="AE30" s="8" t="s">
        <v>461</v>
      </c>
      <c r="AF30" s="8" t="s">
        <v>460</v>
      </c>
      <c r="AG30" s="8" t="s">
        <v>732</v>
      </c>
      <c r="AH30" s="8" t="s">
        <v>733</v>
      </c>
      <c r="AI30" s="8" t="s">
        <v>461</v>
      </c>
      <c r="AJ30" s="8" t="s">
        <v>460</v>
      </c>
      <c r="AK30" s="8" t="s">
        <v>461</v>
      </c>
      <c r="AL30" s="8" t="s">
        <v>460</v>
      </c>
      <c r="AM30" s="8" t="s">
        <v>461</v>
      </c>
      <c r="AN30" s="8" t="s">
        <v>460</v>
      </c>
      <c r="AO30" s="8" t="s">
        <v>461</v>
      </c>
      <c r="AP30" s="8" t="s">
        <v>460</v>
      </c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78"/>
    </row>
    <row r="31" spans="1:83" s="65" customFormat="1" ht="22.5" customHeight="1">
      <c r="A31" s="72" t="s">
        <v>681</v>
      </c>
      <c r="B31" s="72">
        <v>0</v>
      </c>
      <c r="C31" s="72">
        <v>12.284878</v>
      </c>
      <c r="D31" s="72">
        <v>12.110759</v>
      </c>
      <c r="E31" s="8">
        <f>(C31+C28)/2*B31</f>
        <v>0</v>
      </c>
      <c r="F31" s="8">
        <f>(D31+D28)/2*B31</f>
        <v>0</v>
      </c>
      <c r="G31" s="72">
        <v>0</v>
      </c>
      <c r="H31" s="561">
        <v>0.15</v>
      </c>
      <c r="I31" s="561"/>
      <c r="J31" s="72"/>
      <c r="K31" s="72"/>
      <c r="L31" s="72">
        <v>0</v>
      </c>
      <c r="M31" s="72">
        <v>0</v>
      </c>
      <c r="N31" s="72">
        <v>5.95766</v>
      </c>
      <c r="O31" s="72">
        <v>5.95766</v>
      </c>
      <c r="P31" s="70">
        <f>(M31+M28+N31+N28)/2*B31</f>
        <v>0</v>
      </c>
      <c r="Q31" s="70">
        <f>(O31+O28)/2*B31</f>
        <v>0</v>
      </c>
      <c r="R31" s="72">
        <v>0</v>
      </c>
      <c r="S31" s="72">
        <v>0</v>
      </c>
      <c r="T31" s="72">
        <v>0</v>
      </c>
      <c r="U31" s="72">
        <v>11.201989</v>
      </c>
      <c r="V31" s="72">
        <v>2</v>
      </c>
      <c r="W31" s="72">
        <v>2</v>
      </c>
      <c r="X31" s="75">
        <v>13.170353</v>
      </c>
      <c r="Y31" s="70">
        <f>SUM(S31+S28+T31+T28+U31+U28+V31+V28)/2*B31</f>
        <v>0</v>
      </c>
      <c r="Z31" s="70">
        <f>(W28+W31+X28+X31)/2*B31</f>
        <v>0</v>
      </c>
      <c r="AA31" s="75"/>
      <c r="AB31" s="72">
        <v>0</v>
      </c>
      <c r="AC31" s="72">
        <v>1.28404</v>
      </c>
      <c r="AD31" s="72">
        <v>1.28404</v>
      </c>
      <c r="AE31" s="8">
        <f>(AB31+AB28+AC31+AC28)/2*B31/5</f>
        <v>0</v>
      </c>
      <c r="AF31" s="8">
        <f>(AD31+AD28)/2*B31/5</f>
        <v>0</v>
      </c>
      <c r="AG31" s="72">
        <f>AD31+AC31</f>
        <v>2.56808</v>
      </c>
      <c r="AH31" s="82">
        <v>0</v>
      </c>
      <c r="AI31" s="79"/>
      <c r="AJ31" s="79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78"/>
    </row>
    <row r="32" spans="1:83" s="65" customFormat="1" ht="22.5" customHeight="1">
      <c r="A32" s="8" t="s">
        <v>756</v>
      </c>
      <c r="B32" s="8">
        <v>90</v>
      </c>
      <c r="C32" s="8">
        <v>17.746681</v>
      </c>
      <c r="D32" s="8">
        <v>24.594941</v>
      </c>
      <c r="E32" s="8">
        <f aca="true" t="shared" si="28" ref="E32:E37">(C32+C31)/2*B32</f>
        <v>1351.420155</v>
      </c>
      <c r="F32" s="8">
        <f aca="true" t="shared" si="29" ref="F32:F37">(D32+D31)/2*B32</f>
        <v>1651.7565</v>
      </c>
      <c r="G32" s="8">
        <f aca="true" t="shared" si="30" ref="G32:G37">(D32+D31+C32+C31)/2*B32</f>
        <v>3003.176655</v>
      </c>
      <c r="H32" s="446">
        <v>0.15</v>
      </c>
      <c r="I32" s="446"/>
      <c r="J32" s="8">
        <f aca="true" t="shared" si="31" ref="J32:J37">0.1*0.5*1*B32</f>
        <v>4.5</v>
      </c>
      <c r="K32" s="8">
        <f aca="true" t="shared" si="32" ref="K32:K37">0.1*0.5*1*B32</f>
        <v>4.5</v>
      </c>
      <c r="L32" s="8">
        <f aca="true" t="shared" si="33" ref="L32:L37">H32*B32</f>
        <v>13.5</v>
      </c>
      <c r="M32" s="8">
        <v>0</v>
      </c>
      <c r="N32" s="8">
        <v>6.68018</v>
      </c>
      <c r="O32" s="8">
        <v>6.68018</v>
      </c>
      <c r="P32" s="70">
        <f aca="true" t="shared" si="34" ref="P32:P37">(M32+M31+N32+N31)/2*B32</f>
        <v>568.7028</v>
      </c>
      <c r="Q32" s="70">
        <f aca="true" t="shared" si="35" ref="Q32:Q37">(O32+O31)/2*B32</f>
        <v>568.7028</v>
      </c>
      <c r="R32" s="8">
        <f aca="true" t="shared" si="36" ref="R32:R37">(O32+O31+N32+N31)/2*B32</f>
        <v>1137.4056</v>
      </c>
      <c r="S32" s="8">
        <v>0</v>
      </c>
      <c r="T32" s="8">
        <v>0</v>
      </c>
      <c r="U32" s="8">
        <v>13.063054</v>
      </c>
      <c r="V32" s="8">
        <v>2</v>
      </c>
      <c r="W32" s="8">
        <v>2</v>
      </c>
      <c r="X32" s="65">
        <v>13.400278</v>
      </c>
      <c r="Y32" s="70">
        <f aca="true" t="shared" si="37" ref="Y32:Y37">SUM(S32+S31+T32+T31+U32+U31+V32+V31)/2*B32</f>
        <v>1271.926935</v>
      </c>
      <c r="Z32" s="70">
        <f aca="true" t="shared" si="38" ref="Z32:Z37">(W31+W32+X31+X32)/2*B32</f>
        <v>1375.678395</v>
      </c>
      <c r="AA32" s="8">
        <f aca="true" t="shared" si="39" ref="AA32:AA37">(X32+X31+W32+W31+V31+V32+U32+U31)/2*B32</f>
        <v>2647.60533</v>
      </c>
      <c r="AB32" s="8">
        <v>0</v>
      </c>
      <c r="AC32" s="8">
        <v>1.49504</v>
      </c>
      <c r="AD32" s="8">
        <v>1.49504</v>
      </c>
      <c r="AE32" s="8">
        <f aca="true" t="shared" si="40" ref="AE32:AE37">(AB32+AB31+AC32+AC31)/2*B32/2.5</f>
        <v>50.02344</v>
      </c>
      <c r="AF32" s="8">
        <f aca="true" t="shared" si="41" ref="AF32:AF37">(AD32+AD31)/2*B32/2.5</f>
        <v>50.02344</v>
      </c>
      <c r="AG32" s="8">
        <f aca="true" t="shared" si="42" ref="AG32:AG37">AD32+AC32</f>
        <v>2.99008</v>
      </c>
      <c r="AH32" s="76">
        <f aca="true" t="shared" si="43" ref="AH32:AH37">(AG32+AG31)/2*B32/5</f>
        <v>50.02344</v>
      </c>
      <c r="AI32" s="79">
        <f aca="true" t="shared" si="44" ref="AI32:AI37">PI()*0.15^2*B32</f>
        <v>6.3617251235193315</v>
      </c>
      <c r="AJ32" s="79">
        <f aca="true" t="shared" si="45" ref="AJ32:AJ37">PI()*0.15^2*B32</f>
        <v>6.3617251235193315</v>
      </c>
      <c r="AK32" s="79">
        <f>P32/10</f>
        <v>56.87028</v>
      </c>
      <c r="AL32" s="79">
        <f>Q32/10</f>
        <v>56.87028</v>
      </c>
      <c r="AM32" s="65">
        <f aca="true" t="shared" si="46" ref="AM32:AM37">(0.5*0.1*2+0.1*10*2)*B32/10</f>
        <v>18.9</v>
      </c>
      <c r="AN32" s="65">
        <f aca="true" t="shared" si="47" ref="AN32:AN37">(0.5*0.1*2+0.1*10*2)*B32/10</f>
        <v>18.9</v>
      </c>
      <c r="AO32" s="84">
        <f aca="true" t="shared" si="48" ref="AO32:AO37">(2*PI()*0.15+0.2)*B32</f>
        <v>102.82300164692441</v>
      </c>
      <c r="AP32" s="84">
        <f aca="true" t="shared" si="49" ref="AP32:AP37">(2*PI()*0.15+0.2)*B32</f>
        <v>102.82300164692441</v>
      </c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78"/>
    </row>
    <row r="33" spans="1:83" s="65" customFormat="1" ht="22.5" customHeight="1">
      <c r="A33" s="8" t="s">
        <v>757</v>
      </c>
      <c r="B33" s="8">
        <v>63</v>
      </c>
      <c r="C33" s="8">
        <v>30.174659</v>
      </c>
      <c r="D33" s="8">
        <v>21.254679</v>
      </c>
      <c r="E33" s="8">
        <f t="shared" si="28"/>
        <v>1509.52221</v>
      </c>
      <c r="F33" s="8">
        <f t="shared" si="29"/>
        <v>1444.26303</v>
      </c>
      <c r="G33" s="8">
        <f t="shared" si="30"/>
        <v>2953.78524</v>
      </c>
      <c r="H33" s="446">
        <v>0.15</v>
      </c>
      <c r="I33" s="446"/>
      <c r="J33" s="8">
        <f t="shared" si="31"/>
        <v>3.1500000000000004</v>
      </c>
      <c r="K33" s="8">
        <f t="shared" si="32"/>
        <v>3.1500000000000004</v>
      </c>
      <c r="L33" s="8">
        <f t="shared" si="33"/>
        <v>9.45</v>
      </c>
      <c r="M33" s="8">
        <v>0</v>
      </c>
      <c r="N33" s="8">
        <v>7.66956</v>
      </c>
      <c r="O33" s="8">
        <v>7.66956</v>
      </c>
      <c r="P33" s="70">
        <f t="shared" si="34"/>
        <v>452.01681</v>
      </c>
      <c r="Q33" s="70">
        <f t="shared" si="35"/>
        <v>452.01681</v>
      </c>
      <c r="R33" s="8">
        <f t="shared" si="36"/>
        <v>904.03362</v>
      </c>
      <c r="S33" s="8">
        <v>0</v>
      </c>
      <c r="T33" s="8">
        <v>0</v>
      </c>
      <c r="U33" s="8">
        <v>15.431449</v>
      </c>
      <c r="V33" s="8">
        <v>2</v>
      </c>
      <c r="W33" s="8">
        <v>2</v>
      </c>
      <c r="X33" s="65">
        <v>15.595963</v>
      </c>
      <c r="Y33" s="70">
        <f t="shared" si="37"/>
        <v>1023.5768445000001</v>
      </c>
      <c r="Z33" s="70">
        <f t="shared" si="38"/>
        <v>1039.3815915</v>
      </c>
      <c r="AA33" s="8">
        <f t="shared" si="39"/>
        <v>2062.958436</v>
      </c>
      <c r="AB33" s="8">
        <v>0</v>
      </c>
      <c r="AC33" s="8">
        <v>1.74803</v>
      </c>
      <c r="AD33" s="8">
        <v>1.74803</v>
      </c>
      <c r="AE33" s="8">
        <f t="shared" si="40"/>
        <v>40.862682</v>
      </c>
      <c r="AF33" s="8">
        <f t="shared" si="41"/>
        <v>40.862682</v>
      </c>
      <c r="AG33" s="8">
        <f t="shared" si="42"/>
        <v>3.49606</v>
      </c>
      <c r="AH33" s="76">
        <f t="shared" si="43"/>
        <v>40.862682</v>
      </c>
      <c r="AI33" s="79">
        <f t="shared" si="44"/>
        <v>4.453207586463532</v>
      </c>
      <c r="AJ33" s="79">
        <f t="shared" si="45"/>
        <v>4.453207586463532</v>
      </c>
      <c r="AK33" s="79">
        <f aca="true" t="shared" si="50" ref="AK33:AL37">P33/10</f>
        <v>45.201681</v>
      </c>
      <c r="AL33" s="79">
        <f t="shared" si="50"/>
        <v>45.201681</v>
      </c>
      <c r="AM33" s="65">
        <f t="shared" si="46"/>
        <v>13.23</v>
      </c>
      <c r="AN33" s="65">
        <f t="shared" si="47"/>
        <v>13.23</v>
      </c>
      <c r="AO33" s="84">
        <f t="shared" si="48"/>
        <v>71.9761011528471</v>
      </c>
      <c r="AP33" s="84">
        <f t="shared" si="49"/>
        <v>71.9761011528471</v>
      </c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78"/>
    </row>
    <row r="34" spans="1:83" s="65" customFormat="1" ht="22.5" customHeight="1">
      <c r="A34" s="8" t="s">
        <v>758</v>
      </c>
      <c r="B34" s="8">
        <v>86</v>
      </c>
      <c r="C34" s="8">
        <v>23.796389</v>
      </c>
      <c r="D34" s="8">
        <v>15.115868</v>
      </c>
      <c r="E34" s="8">
        <f t="shared" si="28"/>
        <v>2320.755064</v>
      </c>
      <c r="F34" s="8">
        <f t="shared" si="29"/>
        <v>1563.9335210000002</v>
      </c>
      <c r="G34" s="8">
        <f t="shared" si="30"/>
        <v>3884.6885850000003</v>
      </c>
      <c r="H34" s="446">
        <v>0.15</v>
      </c>
      <c r="I34" s="446"/>
      <c r="J34" s="8">
        <f t="shared" si="31"/>
        <v>4.3</v>
      </c>
      <c r="K34" s="8">
        <f t="shared" si="32"/>
        <v>4.3</v>
      </c>
      <c r="L34" s="8">
        <f t="shared" si="33"/>
        <v>12.9</v>
      </c>
      <c r="M34" s="8">
        <v>0</v>
      </c>
      <c r="N34" s="8">
        <v>7.1181</v>
      </c>
      <c r="O34" s="8">
        <v>7.1181</v>
      </c>
      <c r="P34" s="70">
        <f t="shared" si="34"/>
        <v>635.86938</v>
      </c>
      <c r="Q34" s="70">
        <f t="shared" si="35"/>
        <v>635.86938</v>
      </c>
      <c r="R34" s="8">
        <f t="shared" si="36"/>
        <v>1271.73876</v>
      </c>
      <c r="S34" s="8">
        <v>0</v>
      </c>
      <c r="T34" s="8">
        <v>0</v>
      </c>
      <c r="U34" s="8">
        <v>16.791386</v>
      </c>
      <c r="V34" s="8">
        <v>2</v>
      </c>
      <c r="W34" s="8">
        <v>2</v>
      </c>
      <c r="X34" s="65">
        <v>14.368776</v>
      </c>
      <c r="Y34" s="70">
        <f t="shared" si="37"/>
        <v>1557.5819050000002</v>
      </c>
      <c r="Z34" s="70">
        <f t="shared" si="38"/>
        <v>1460.4837769999997</v>
      </c>
      <c r="AA34" s="8">
        <f t="shared" si="39"/>
        <v>3018.065682</v>
      </c>
      <c r="AB34" s="8">
        <v>0</v>
      </c>
      <c r="AC34" s="8">
        <v>1.61128</v>
      </c>
      <c r="AD34" s="8">
        <v>1.61128</v>
      </c>
      <c r="AE34" s="8">
        <f t="shared" si="40"/>
        <v>57.780131999999995</v>
      </c>
      <c r="AF34" s="8">
        <f t="shared" si="41"/>
        <v>57.780131999999995</v>
      </c>
      <c r="AG34" s="8">
        <f t="shared" si="42"/>
        <v>3.22256</v>
      </c>
      <c r="AH34" s="76">
        <f t="shared" si="43"/>
        <v>57.780131999999995</v>
      </c>
      <c r="AI34" s="79">
        <f t="shared" si="44"/>
        <v>6.07898178469625</v>
      </c>
      <c r="AJ34" s="79">
        <f t="shared" si="45"/>
        <v>6.07898178469625</v>
      </c>
      <c r="AK34" s="79">
        <f t="shared" si="50"/>
        <v>63.586937999999996</v>
      </c>
      <c r="AL34" s="79">
        <f t="shared" si="50"/>
        <v>63.586937999999996</v>
      </c>
      <c r="AM34" s="65">
        <f t="shared" si="46"/>
        <v>18.06</v>
      </c>
      <c r="AN34" s="65">
        <f t="shared" si="47"/>
        <v>18.06</v>
      </c>
      <c r="AO34" s="84">
        <f t="shared" si="48"/>
        <v>98.25309046261665</v>
      </c>
      <c r="AP34" s="84">
        <f t="shared" si="49"/>
        <v>98.25309046261665</v>
      </c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78"/>
    </row>
    <row r="35" spans="1:83" s="65" customFormat="1" ht="22.5" customHeight="1">
      <c r="A35" s="8" t="s">
        <v>759</v>
      </c>
      <c r="B35" s="8">
        <v>106</v>
      </c>
      <c r="C35" s="8">
        <v>23.555738</v>
      </c>
      <c r="D35" s="8">
        <v>18.637526</v>
      </c>
      <c r="E35" s="8">
        <f t="shared" si="28"/>
        <v>2509.6627310000003</v>
      </c>
      <c r="F35" s="8">
        <f t="shared" si="29"/>
        <v>1788.929882</v>
      </c>
      <c r="G35" s="8">
        <f t="shared" si="30"/>
        <v>4298.592613000001</v>
      </c>
      <c r="H35" s="446">
        <v>0.15</v>
      </c>
      <c r="I35" s="446"/>
      <c r="J35" s="8">
        <f t="shared" si="31"/>
        <v>5.300000000000001</v>
      </c>
      <c r="K35" s="8">
        <f t="shared" si="32"/>
        <v>5.300000000000001</v>
      </c>
      <c r="L35" s="8">
        <f t="shared" si="33"/>
        <v>15.899999999999999</v>
      </c>
      <c r="M35" s="8">
        <v>0</v>
      </c>
      <c r="N35" s="8">
        <v>6.354282</v>
      </c>
      <c r="O35" s="8">
        <v>6.354282</v>
      </c>
      <c r="P35" s="70">
        <f t="shared" si="34"/>
        <v>714.036246</v>
      </c>
      <c r="Q35" s="70">
        <f t="shared" si="35"/>
        <v>714.036246</v>
      </c>
      <c r="R35" s="8">
        <f t="shared" si="36"/>
        <v>1428.072492</v>
      </c>
      <c r="S35" s="8">
        <v>0</v>
      </c>
      <c r="T35" s="8">
        <v>0</v>
      </c>
      <c r="U35" s="8">
        <v>13.517561</v>
      </c>
      <c r="V35" s="8">
        <v>2</v>
      </c>
      <c r="W35" s="8">
        <v>2</v>
      </c>
      <c r="X35" s="65">
        <v>13.082919</v>
      </c>
      <c r="Y35" s="70">
        <f t="shared" si="37"/>
        <v>1818.374191</v>
      </c>
      <c r="Z35" s="70">
        <f t="shared" si="38"/>
        <v>1666.9398350000001</v>
      </c>
      <c r="AA35" s="8">
        <f t="shared" si="39"/>
        <v>3485.314026</v>
      </c>
      <c r="AB35" s="8">
        <v>0</v>
      </c>
      <c r="AC35" s="8">
        <v>1.40321</v>
      </c>
      <c r="AD35" s="8">
        <v>1.40321</v>
      </c>
      <c r="AE35" s="8">
        <f t="shared" si="40"/>
        <v>63.907188000000005</v>
      </c>
      <c r="AF35" s="8">
        <f t="shared" si="41"/>
        <v>63.907188000000005</v>
      </c>
      <c r="AG35" s="8">
        <f t="shared" si="42"/>
        <v>2.80642</v>
      </c>
      <c r="AH35" s="76">
        <f t="shared" si="43"/>
        <v>63.907188000000005</v>
      </c>
      <c r="AI35" s="79">
        <f t="shared" si="44"/>
        <v>7.492698478811657</v>
      </c>
      <c r="AJ35" s="79">
        <f t="shared" si="45"/>
        <v>7.492698478811657</v>
      </c>
      <c r="AK35" s="79">
        <f t="shared" si="50"/>
        <v>71.4036246</v>
      </c>
      <c r="AL35" s="79">
        <f t="shared" si="50"/>
        <v>71.4036246</v>
      </c>
      <c r="AM35" s="65">
        <f t="shared" si="46"/>
        <v>22.26</v>
      </c>
      <c r="AN35" s="65">
        <f t="shared" si="47"/>
        <v>22.26</v>
      </c>
      <c r="AO35" s="84">
        <f t="shared" si="48"/>
        <v>121.10264638415542</v>
      </c>
      <c r="AP35" s="84">
        <f t="shared" si="49"/>
        <v>121.10264638415542</v>
      </c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78"/>
    </row>
    <row r="36" spans="1:83" s="65" customFormat="1" ht="22.5" customHeight="1">
      <c r="A36" s="8" t="s">
        <v>760</v>
      </c>
      <c r="B36" s="8">
        <v>58</v>
      </c>
      <c r="C36" s="8">
        <v>79.186123</v>
      </c>
      <c r="D36" s="8">
        <v>13.425493</v>
      </c>
      <c r="E36" s="8">
        <f t="shared" si="28"/>
        <v>2979.513969</v>
      </c>
      <c r="F36" s="8">
        <f t="shared" si="29"/>
        <v>929.8275509999999</v>
      </c>
      <c r="G36" s="8">
        <f t="shared" si="30"/>
        <v>3909.34152</v>
      </c>
      <c r="H36" s="446">
        <v>0.15</v>
      </c>
      <c r="I36" s="446"/>
      <c r="J36" s="8">
        <f t="shared" si="31"/>
        <v>2.9000000000000004</v>
      </c>
      <c r="K36" s="8">
        <f t="shared" si="32"/>
        <v>2.9000000000000004</v>
      </c>
      <c r="L36" s="8">
        <f t="shared" si="33"/>
        <v>8.7</v>
      </c>
      <c r="M36" s="8">
        <v>0</v>
      </c>
      <c r="N36" s="8">
        <v>7.1964</v>
      </c>
      <c r="O36" s="8">
        <v>7.196348</v>
      </c>
      <c r="P36" s="70">
        <f t="shared" si="34"/>
        <v>392.969778</v>
      </c>
      <c r="Q36" s="70">
        <f t="shared" si="35"/>
        <v>392.9682700000001</v>
      </c>
      <c r="R36" s="8">
        <f t="shared" si="36"/>
        <v>785.9380480000001</v>
      </c>
      <c r="S36" s="8">
        <v>0</v>
      </c>
      <c r="T36" s="8">
        <v>0</v>
      </c>
      <c r="U36" s="8">
        <v>16.1384</v>
      </c>
      <c r="V36" s="8">
        <v>2</v>
      </c>
      <c r="W36" s="8">
        <v>2</v>
      </c>
      <c r="X36" s="65">
        <v>14.660352</v>
      </c>
      <c r="Y36" s="70">
        <f t="shared" si="37"/>
        <v>976.0228690000001</v>
      </c>
      <c r="Z36" s="70">
        <f t="shared" si="38"/>
        <v>920.554859</v>
      </c>
      <c r="AA36" s="8">
        <f t="shared" si="39"/>
        <v>1896.577728</v>
      </c>
      <c r="AB36" s="8">
        <v>0</v>
      </c>
      <c r="AC36" s="8">
        <v>1.6313</v>
      </c>
      <c r="AD36" s="8">
        <v>1.6313</v>
      </c>
      <c r="AE36" s="8">
        <f t="shared" si="40"/>
        <v>35.200316</v>
      </c>
      <c r="AF36" s="8">
        <f t="shared" si="41"/>
        <v>35.200316</v>
      </c>
      <c r="AG36" s="8">
        <f t="shared" si="42"/>
        <v>3.2626</v>
      </c>
      <c r="AH36" s="76">
        <f t="shared" si="43"/>
        <v>35.200316</v>
      </c>
      <c r="AI36" s="79">
        <f t="shared" si="44"/>
        <v>4.09977841293468</v>
      </c>
      <c r="AJ36" s="79">
        <f t="shared" si="45"/>
        <v>4.09977841293468</v>
      </c>
      <c r="AK36" s="79">
        <f t="shared" si="50"/>
        <v>39.2969778</v>
      </c>
      <c r="AL36" s="79">
        <f t="shared" si="50"/>
        <v>39.29682700000001</v>
      </c>
      <c r="AM36" s="65">
        <f t="shared" si="46"/>
        <v>12.180000000000001</v>
      </c>
      <c r="AN36" s="65">
        <f t="shared" si="47"/>
        <v>12.180000000000001</v>
      </c>
      <c r="AO36" s="84">
        <f t="shared" si="48"/>
        <v>66.26371217246239</v>
      </c>
      <c r="AP36" s="84">
        <f t="shared" si="49"/>
        <v>66.26371217246239</v>
      </c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78"/>
    </row>
    <row r="37" spans="1:83" s="65" customFormat="1" ht="22.5" customHeight="1">
      <c r="A37" s="8" t="s">
        <v>683</v>
      </c>
      <c r="B37" s="8">
        <v>139</v>
      </c>
      <c r="C37" s="8">
        <v>26.850509</v>
      </c>
      <c r="D37" s="8">
        <v>19.336552</v>
      </c>
      <c r="E37" s="8">
        <f t="shared" si="28"/>
        <v>7369.545924</v>
      </c>
      <c r="F37" s="8">
        <f t="shared" si="29"/>
        <v>2276.9621275</v>
      </c>
      <c r="G37" s="8">
        <f t="shared" si="30"/>
        <v>9646.508051499999</v>
      </c>
      <c r="H37" s="446">
        <v>0.15</v>
      </c>
      <c r="I37" s="446"/>
      <c r="J37" s="8">
        <f t="shared" si="31"/>
        <v>6.95</v>
      </c>
      <c r="K37" s="8">
        <f t="shared" si="32"/>
        <v>6.95</v>
      </c>
      <c r="L37" s="8">
        <f t="shared" si="33"/>
        <v>20.849999999999998</v>
      </c>
      <c r="M37" s="8">
        <v>0</v>
      </c>
      <c r="N37" s="8">
        <v>7.240692</v>
      </c>
      <c r="O37" s="8">
        <v>7.240692</v>
      </c>
      <c r="P37" s="70">
        <f t="shared" si="34"/>
        <v>1003.377894</v>
      </c>
      <c r="Q37" s="70">
        <f t="shared" si="35"/>
        <v>1003.37428</v>
      </c>
      <c r="R37" s="8">
        <f t="shared" si="36"/>
        <v>2006.752174</v>
      </c>
      <c r="S37" s="8">
        <v>0</v>
      </c>
      <c r="T37" s="8">
        <v>0</v>
      </c>
      <c r="U37" s="8">
        <v>17.340562</v>
      </c>
      <c r="V37" s="8">
        <v>2</v>
      </c>
      <c r="W37" s="8">
        <v>2</v>
      </c>
      <c r="X37" s="65">
        <v>16.230419</v>
      </c>
      <c r="Y37" s="70">
        <f t="shared" si="37"/>
        <v>2604.7878589999996</v>
      </c>
      <c r="Z37" s="70">
        <f t="shared" si="38"/>
        <v>2424.9085845</v>
      </c>
      <c r="AA37" s="8">
        <f t="shared" si="39"/>
        <v>5029.6964435</v>
      </c>
      <c r="AB37" s="8">
        <v>0</v>
      </c>
      <c r="AC37" s="8">
        <v>1.64254</v>
      </c>
      <c r="AD37" s="8">
        <v>1.64254</v>
      </c>
      <c r="AE37" s="8">
        <f t="shared" si="40"/>
        <v>91.012752</v>
      </c>
      <c r="AF37" s="8">
        <f t="shared" si="41"/>
        <v>91.012752</v>
      </c>
      <c r="AG37" s="8">
        <f t="shared" si="42"/>
        <v>3.28508</v>
      </c>
      <c r="AH37" s="76">
        <f t="shared" si="43"/>
        <v>91.012752</v>
      </c>
      <c r="AI37" s="79">
        <f t="shared" si="44"/>
        <v>9.825331024102079</v>
      </c>
      <c r="AJ37" s="79">
        <f t="shared" si="45"/>
        <v>9.825331024102079</v>
      </c>
      <c r="AK37" s="79">
        <f t="shared" si="50"/>
        <v>100.33778939999999</v>
      </c>
      <c r="AL37" s="79">
        <f t="shared" si="50"/>
        <v>100.337428</v>
      </c>
      <c r="AM37" s="65">
        <f t="shared" si="46"/>
        <v>29.190000000000005</v>
      </c>
      <c r="AN37" s="65">
        <f t="shared" si="47"/>
        <v>29.190000000000005</v>
      </c>
      <c r="AO37" s="84">
        <f t="shared" si="48"/>
        <v>158.80441365469437</v>
      </c>
      <c r="AP37" s="84">
        <f t="shared" si="49"/>
        <v>158.80441365469437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78"/>
    </row>
    <row r="38" spans="1:42" s="66" customFormat="1" ht="22.5" customHeight="1">
      <c r="A38" s="8" t="s">
        <v>128</v>
      </c>
      <c r="B38" s="8">
        <f>SUM(B31:B37)</f>
        <v>542</v>
      </c>
      <c r="C38" s="8"/>
      <c r="D38" s="8"/>
      <c r="E38" s="8">
        <f>SUM(E31:E37)</f>
        <v>18040.420053</v>
      </c>
      <c r="F38" s="8">
        <f>SUM(F31:F37)</f>
        <v>9655.672611500002</v>
      </c>
      <c r="G38" s="8">
        <f>SUM(G31:G37)</f>
        <v>27696.0926645</v>
      </c>
      <c r="H38" s="8"/>
      <c r="I38" s="8"/>
      <c r="J38" s="8">
        <f>SUM(J31:J37)</f>
        <v>27.099999999999998</v>
      </c>
      <c r="K38" s="8">
        <f>SUM(K31:K37)</f>
        <v>27.099999999999998</v>
      </c>
      <c r="L38" s="8">
        <f>SUM(L31:L37)</f>
        <v>81.3</v>
      </c>
      <c r="M38" s="8"/>
      <c r="N38" s="8"/>
      <c r="O38" s="8"/>
      <c r="P38" s="8">
        <f>SUM(P31:P37)</f>
        <v>3766.9729080000006</v>
      </c>
      <c r="Q38" s="8">
        <f>SUM(Q31:Q37)</f>
        <v>3766.967786</v>
      </c>
      <c r="R38" s="8">
        <f>SUM(R31:R37)</f>
        <v>7533.940694000001</v>
      </c>
      <c r="S38" s="8"/>
      <c r="T38" s="8"/>
      <c r="U38" s="8"/>
      <c r="V38" s="8"/>
      <c r="W38" s="8"/>
      <c r="X38" s="65"/>
      <c r="Y38" s="8">
        <f>SUM(Y31:Y37)</f>
        <v>9252.2706035</v>
      </c>
      <c r="Z38" s="8">
        <f>SUM(Z31:Z37)</f>
        <v>8887.947042</v>
      </c>
      <c r="AA38" s="8">
        <f>SUM(AA31:AA37)</f>
        <v>18140.2176455</v>
      </c>
      <c r="AB38" s="8"/>
      <c r="AC38" s="8"/>
      <c r="AD38" s="8"/>
      <c r="AE38" s="8">
        <f>SUM(AE31:AE37)</f>
        <v>338.78651</v>
      </c>
      <c r="AF38" s="8">
        <f>SUM(AF31:AF37)</f>
        <v>338.78651</v>
      </c>
      <c r="AG38" s="8"/>
      <c r="AH38" s="76">
        <f>SUM(AH31:AH37)</f>
        <v>338.78651</v>
      </c>
      <c r="AI38" s="79">
        <f>SUM(AI31:AI37)</f>
        <v>38.31172241052753</v>
      </c>
      <c r="AJ38" s="79">
        <f>SUM(AJ31:AJ37)</f>
        <v>38.31172241052753</v>
      </c>
      <c r="AK38" s="79">
        <f aca="true" t="shared" si="51" ref="AK38:AP38">SUM(AK32:AK37)</f>
        <v>376.6972908</v>
      </c>
      <c r="AL38" s="79">
        <f t="shared" si="51"/>
        <v>376.69677859999996</v>
      </c>
      <c r="AM38" s="79">
        <f t="shared" si="51"/>
        <v>113.82000000000002</v>
      </c>
      <c r="AN38" s="79">
        <f t="shared" si="51"/>
        <v>113.82000000000002</v>
      </c>
      <c r="AO38" s="79">
        <f t="shared" si="51"/>
        <v>619.2229654737004</v>
      </c>
      <c r="AP38" s="79">
        <f t="shared" si="51"/>
        <v>619.2229654737004</v>
      </c>
    </row>
    <row r="39" spans="1:42" ht="22.5" customHeight="1">
      <c r="A39" s="68">
        <f>4022-3480</f>
        <v>542</v>
      </c>
      <c r="B39" s="67">
        <f>B26+B38</f>
        <v>2658</v>
      </c>
      <c r="F39" s="73">
        <f>SUM(E38:F38)</f>
        <v>27696.092664500004</v>
      </c>
      <c r="K39" s="73">
        <f>SUM(J38:K38)</f>
        <v>54.199999999999996</v>
      </c>
      <c r="L39" s="68">
        <f>SUM(L4:L37)</f>
        <v>398.69999999999993</v>
      </c>
      <c r="Q39" s="73">
        <f>SUM(P38:Q38)</f>
        <v>7533.940694000001</v>
      </c>
      <c r="R39" s="68">
        <f>SUM(R4:R37)</f>
        <v>68339.24309399999</v>
      </c>
      <c r="Z39" s="73">
        <f>SUM(Y38:Z38)</f>
        <v>18140.2176455</v>
      </c>
      <c r="AA39" s="68">
        <f>SUM(AA4:AA37)</f>
        <v>154087.01484549997</v>
      </c>
      <c r="AF39" s="73">
        <f>SUM(AE38:AF38)</f>
        <v>677.57302</v>
      </c>
      <c r="AH39" s="69">
        <f>SUM(AH4:AH37)</f>
        <v>2964.0921100000005</v>
      </c>
      <c r="AI39" s="65"/>
      <c r="AJ39" s="83">
        <f>SUM(AI38:AJ38)</f>
        <v>76.62344482105506</v>
      </c>
      <c r="AK39" s="70"/>
      <c r="AL39" s="70">
        <f>SUM(AK38:AL38)</f>
        <v>753.3940694</v>
      </c>
      <c r="AM39" s="65"/>
      <c r="AN39" s="70">
        <f>SUM(AM38:AN38)</f>
        <v>227.64000000000004</v>
      </c>
      <c r="AO39" s="65"/>
      <c r="AP39" s="70">
        <f>SUM(AO38:AP38)</f>
        <v>1238.4459309474007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</sheetData>
  <sheetProtection/>
  <mergeCells count="71">
    <mergeCell ref="A1:AH1"/>
    <mergeCell ref="C2:D2"/>
    <mergeCell ref="E2:F2"/>
    <mergeCell ref="J2:K2"/>
    <mergeCell ref="M2:O2"/>
    <mergeCell ref="P2:Q2"/>
    <mergeCell ref="S2:X2"/>
    <mergeCell ref="Y2:Z2"/>
    <mergeCell ref="AB2:AD2"/>
    <mergeCell ref="AE2:AF2"/>
    <mergeCell ref="AI2:AJ2"/>
    <mergeCell ref="AK2:AL2"/>
    <mergeCell ref="AM2:AN2"/>
    <mergeCell ref="AO2:AP2"/>
    <mergeCell ref="H4:I4"/>
    <mergeCell ref="H5:I5"/>
    <mergeCell ref="L2:L3"/>
    <mergeCell ref="R2:R3"/>
    <mergeCell ref="H6:I6"/>
    <mergeCell ref="H7:I7"/>
    <mergeCell ref="H8:I8"/>
    <mergeCell ref="H9:I9"/>
    <mergeCell ref="H10:I10"/>
    <mergeCell ref="H11:I11"/>
    <mergeCell ref="H23:I23"/>
    <mergeCell ref="H12:I12"/>
    <mergeCell ref="H13:I13"/>
    <mergeCell ref="H14:I14"/>
    <mergeCell ref="H15:I15"/>
    <mergeCell ref="H16:I16"/>
    <mergeCell ref="H17:I17"/>
    <mergeCell ref="AK29:AL29"/>
    <mergeCell ref="AM29:AN29"/>
    <mergeCell ref="AO29:AP29"/>
    <mergeCell ref="H24:I24"/>
    <mergeCell ref="H25:I25"/>
    <mergeCell ref="A28:AH28"/>
    <mergeCell ref="C29:D29"/>
    <mergeCell ref="E29:F29"/>
    <mergeCell ref="J29:K29"/>
    <mergeCell ref="M29:O29"/>
    <mergeCell ref="H34:I34"/>
    <mergeCell ref="H35:I35"/>
    <mergeCell ref="H36:I36"/>
    <mergeCell ref="AB29:AD29"/>
    <mergeCell ref="AE29:AF29"/>
    <mergeCell ref="AI29:AJ29"/>
    <mergeCell ref="P29:Q29"/>
    <mergeCell ref="S29:X29"/>
    <mergeCell ref="Y29:Z29"/>
    <mergeCell ref="L29:L30"/>
    <mergeCell ref="H37:I37"/>
    <mergeCell ref="A2:A3"/>
    <mergeCell ref="A29:A30"/>
    <mergeCell ref="B2:B3"/>
    <mergeCell ref="B29:B30"/>
    <mergeCell ref="G2:G3"/>
    <mergeCell ref="G29:G30"/>
    <mergeCell ref="H31:I31"/>
    <mergeCell ref="H32:I32"/>
    <mergeCell ref="H33:I33"/>
    <mergeCell ref="R29:R30"/>
    <mergeCell ref="AA2:AA3"/>
    <mergeCell ref="AA29:AA30"/>
    <mergeCell ref="H29:I30"/>
    <mergeCell ref="H2:I3"/>
    <mergeCell ref="H18:I18"/>
    <mergeCell ref="H19:I19"/>
    <mergeCell ref="H20:I20"/>
    <mergeCell ref="H21:I21"/>
    <mergeCell ref="H22:I22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1">
      <selection activeCell="C4" sqref="C4:G18"/>
    </sheetView>
  </sheetViews>
  <sheetFormatPr defaultColWidth="8.625" defaultRowHeight="14.25"/>
  <cols>
    <col min="1" max="1" width="8.625" style="0" customWidth="1"/>
    <col min="2" max="2" width="16.125" style="0" customWidth="1"/>
    <col min="3" max="4" width="12.50390625" style="0" customWidth="1"/>
    <col min="5" max="6" width="12.50390625" style="0" hidden="1" customWidth="1"/>
    <col min="7" max="8" width="12.50390625" style="0" customWidth="1"/>
    <col min="9" max="9" width="10.375" style="0" hidden="1" customWidth="1"/>
    <col min="10" max="10" width="11.50390625" style="0" customWidth="1"/>
    <col min="11" max="11" width="11.50390625" style="0" bestFit="1" customWidth="1"/>
    <col min="12" max="12" width="9.375" style="0" bestFit="1" customWidth="1"/>
  </cols>
  <sheetData>
    <row r="2" spans="1:8" ht="14.25">
      <c r="A2" s="574" t="s">
        <v>38</v>
      </c>
      <c r="B2" s="574" t="s">
        <v>3</v>
      </c>
      <c r="C2" s="48" t="s">
        <v>103</v>
      </c>
      <c r="D2" s="48" t="s">
        <v>168</v>
      </c>
      <c r="E2" s="48"/>
      <c r="F2" s="48"/>
      <c r="G2" s="48" t="s">
        <v>761</v>
      </c>
      <c r="H2" s="48" t="s">
        <v>247</v>
      </c>
    </row>
    <row r="3" spans="1:8" ht="16.5">
      <c r="A3" s="575"/>
      <c r="B3" s="575"/>
      <c r="C3" s="50" t="s">
        <v>762</v>
      </c>
      <c r="D3" s="50" t="s">
        <v>763</v>
      </c>
      <c r="E3" s="50"/>
      <c r="F3" s="50"/>
      <c r="G3" s="51" t="s">
        <v>764</v>
      </c>
      <c r="H3" s="51" t="s">
        <v>764</v>
      </c>
    </row>
    <row r="4" spans="1:11" ht="14.25">
      <c r="A4" s="49" t="s">
        <v>11</v>
      </c>
      <c r="B4" s="50" t="s">
        <v>12</v>
      </c>
      <c r="C4" s="52">
        <f>SUM(C5+C10+C13)</f>
        <v>272343.746429</v>
      </c>
      <c r="D4" s="52">
        <f>SUM(D5+D10+D13)</f>
        <v>95765.6195575</v>
      </c>
      <c r="E4" s="52"/>
      <c r="F4" s="52"/>
      <c r="G4" s="52">
        <f>SUM(G5+G10+G13)</f>
        <v>50039.86509703329</v>
      </c>
      <c r="H4" s="52">
        <f>SUM(H5+H10+H13)</f>
        <v>371.6</v>
      </c>
      <c r="I4" s="61">
        <f>SUM(C4:H4)</f>
        <v>418520.83108353324</v>
      </c>
      <c r="J4" s="61">
        <f>D4*1.18</f>
        <v>113003.43107785</v>
      </c>
      <c r="K4" s="60">
        <f>C4-J4</f>
        <v>159340.31535115</v>
      </c>
    </row>
    <row r="5" spans="1:11" ht="14.25">
      <c r="A5" s="49" t="s">
        <v>49</v>
      </c>
      <c r="B5" s="50" t="s">
        <v>765</v>
      </c>
      <c r="C5" s="53">
        <f>SUM(C6:C9)</f>
        <v>236381.44126450003</v>
      </c>
      <c r="D5" s="53">
        <f>SUM(D6:D9)</f>
        <v>91807.36844549999</v>
      </c>
      <c r="E5" s="54">
        <f>D5*1.18</f>
        <v>108332.69476568999</v>
      </c>
      <c r="F5" s="54">
        <f>C5-E5</f>
        <v>128048.74649881004</v>
      </c>
      <c r="G5" s="53">
        <f>SUM(G6:G9)</f>
        <v>39559.29981753329</v>
      </c>
      <c r="H5" s="51">
        <f>SUM(H6:H9)</f>
        <v>371.6</v>
      </c>
      <c r="I5" s="61">
        <f>SUM(C5:H5)</f>
        <v>604501.1507920333</v>
      </c>
      <c r="J5" s="61">
        <f aca="true" t="shared" si="0" ref="J5:J18">D5*1.18</f>
        <v>108332.69476568999</v>
      </c>
      <c r="K5" s="60">
        <f aca="true" t="shared" si="1" ref="K5:K18">C5-J5</f>
        <v>128048.74649881004</v>
      </c>
    </row>
    <row r="6" spans="1:11" ht="14.25">
      <c r="A6" s="55">
        <v>1</v>
      </c>
      <c r="B6" s="50" t="s">
        <v>766</v>
      </c>
      <c r="C6" s="53">
        <f>SUM('防洪墙（改后）'!E26)</f>
        <v>149614.16900000002</v>
      </c>
      <c r="D6" s="53">
        <f>SUM('防洪墙（改后）'!Y26)</f>
        <v>38160.079</v>
      </c>
      <c r="E6" s="53"/>
      <c r="F6" s="53"/>
      <c r="G6" s="52">
        <f>SUM('防洪墙（改后）'!P26+'防洪墙（改后）'!AI26)</f>
        <v>17098.95405247482</v>
      </c>
      <c r="H6" s="51">
        <f>SUM('防洪墙（改后）'!K26)</f>
        <v>211.6</v>
      </c>
      <c r="J6" s="61">
        <f t="shared" si="0"/>
        <v>45028.89322</v>
      </c>
      <c r="K6" s="60">
        <f t="shared" si="1"/>
        <v>104585.27578000003</v>
      </c>
    </row>
    <row r="7" spans="1:12" ht="14.25">
      <c r="A7" s="55">
        <v>2</v>
      </c>
      <c r="B7" s="50" t="s">
        <v>767</v>
      </c>
      <c r="C7" s="53">
        <f>SUM('防洪墙（改后）'!E38)</f>
        <v>18040.420053</v>
      </c>
      <c r="D7" s="53">
        <f>SUM('防洪墙（改后）'!Y38)</f>
        <v>9252.2706035</v>
      </c>
      <c r="E7" s="53"/>
      <c r="F7" s="53"/>
      <c r="G7" s="52">
        <f>SUM('防洪墙（改后）'!P38+'防洪墙（改后）'!AI38)</f>
        <v>3805.2846304105283</v>
      </c>
      <c r="H7" s="51">
        <f>SUM('防洪墙（改后）'!J38)</f>
        <v>27.099999999999998</v>
      </c>
      <c r="J7" s="61">
        <f t="shared" si="0"/>
        <v>10917.679312129998</v>
      </c>
      <c r="K7" s="60">
        <f t="shared" si="1"/>
        <v>7122.740740870004</v>
      </c>
      <c r="L7" s="60">
        <f>K7+K9</f>
        <v>6290.635842810007</v>
      </c>
    </row>
    <row r="8" spans="1:11" ht="14.25">
      <c r="A8" s="55">
        <v>3</v>
      </c>
      <c r="B8" s="50" t="s">
        <v>768</v>
      </c>
      <c r="C8" s="53">
        <f>SUM('防洪墙（改后）'!F26)</f>
        <v>59071.179599999996</v>
      </c>
      <c r="D8" s="53">
        <f>SUM('防洪墙（改后）'!Z26)</f>
        <v>35507.0718</v>
      </c>
      <c r="E8" s="53"/>
      <c r="F8" s="53"/>
      <c r="G8" s="52">
        <f>SUM('防洪墙（改后）'!AJ26+'防洪墙（改后）'!Q26)</f>
        <v>14849.78162623741</v>
      </c>
      <c r="H8" s="51">
        <f>SUM('防洪墙（改后）'!J26)</f>
        <v>105.8</v>
      </c>
      <c r="J8" s="61">
        <f t="shared" si="0"/>
        <v>41898.344723999995</v>
      </c>
      <c r="K8" s="60">
        <f t="shared" si="1"/>
        <v>17172.834876</v>
      </c>
    </row>
    <row r="9" spans="1:11" ht="14.25">
      <c r="A9" s="55">
        <v>4</v>
      </c>
      <c r="B9" s="50" t="s">
        <v>769</v>
      </c>
      <c r="C9" s="53">
        <f>SUM('防洪墙（改后）'!F38)</f>
        <v>9655.672611500002</v>
      </c>
      <c r="D9" s="53">
        <f>SUM('防洪墙（改后）'!Z38)</f>
        <v>8887.947042</v>
      </c>
      <c r="E9" s="53"/>
      <c r="F9" s="53"/>
      <c r="G9" s="52">
        <f>SUM('防洪墙（改后）'!Q38+'防洪墙（改后）'!AJ38)</f>
        <v>3805.279508410528</v>
      </c>
      <c r="H9" s="51">
        <f>SUM('防洪墙（改后）'!K38)</f>
        <v>27.099999999999998</v>
      </c>
      <c r="J9" s="61">
        <f t="shared" si="0"/>
        <v>10487.777509559999</v>
      </c>
      <c r="K9" s="60">
        <f t="shared" si="1"/>
        <v>-832.1048980599971</v>
      </c>
    </row>
    <row r="10" spans="1:11" ht="14.25">
      <c r="A10" s="49" t="s">
        <v>57</v>
      </c>
      <c r="B10" s="50" t="s">
        <v>770</v>
      </c>
      <c r="C10" s="53">
        <f>SUM(C11:C12)</f>
        <v>30896.892088499997</v>
      </c>
      <c r="D10" s="53">
        <f>SUM(D11:D12)</f>
        <v>2998.521207999999</v>
      </c>
      <c r="E10" s="54">
        <f>D10*1.18</f>
        <v>3538.255025439999</v>
      </c>
      <c r="F10" s="54">
        <f>C10-E10</f>
        <v>27358.63706306</v>
      </c>
      <c r="G10" s="53">
        <f>SUM(G11:G12)</f>
        <v>8207.3227795</v>
      </c>
      <c r="H10" s="53">
        <f>SUM(H11:H12)</f>
        <v>0</v>
      </c>
      <c r="I10" s="61">
        <f>SUM(C10:H10)</f>
        <v>72999.6281645</v>
      </c>
      <c r="J10" s="61">
        <f t="shared" si="0"/>
        <v>3538.255025439999</v>
      </c>
      <c r="K10" s="60">
        <f t="shared" si="1"/>
        <v>27358.63706306</v>
      </c>
    </row>
    <row r="11" spans="1:11" ht="14.25">
      <c r="A11" s="55">
        <v>1</v>
      </c>
      <c r="B11" s="50" t="s">
        <v>771</v>
      </c>
      <c r="C11" s="53">
        <f>SUM('护坡（改后）'!E19)</f>
        <v>11341.901846499999</v>
      </c>
      <c r="D11" s="53">
        <f>SUM('护坡（改后）'!L19)</f>
        <v>1499.2606039999996</v>
      </c>
      <c r="E11" s="53"/>
      <c r="F11" s="53"/>
      <c r="G11" s="53">
        <f>SUM('护坡（改后）'!O19+'护坡（改后）'!S19+'护坡（改后）'!W19)</f>
        <v>4086.7766485</v>
      </c>
      <c r="H11" s="51"/>
      <c r="J11" s="61">
        <f t="shared" si="0"/>
        <v>1769.1275127199995</v>
      </c>
      <c r="K11" s="60">
        <f t="shared" si="1"/>
        <v>9572.77433378</v>
      </c>
    </row>
    <row r="12" spans="1:11" ht="14.25">
      <c r="A12" s="55">
        <v>2</v>
      </c>
      <c r="B12" s="50" t="s">
        <v>772</v>
      </c>
      <c r="C12" s="53">
        <f>SUM('护坡（改后）'!F19)</f>
        <v>19554.990242</v>
      </c>
      <c r="D12" s="53">
        <f>SUM('护坡（改后）'!M19)</f>
        <v>1499.2606039999996</v>
      </c>
      <c r="E12" s="53"/>
      <c r="F12" s="53"/>
      <c r="G12" s="53">
        <f>SUM('护坡（改后）'!P19+'护坡（改后）'!U19+'护坡（改后）'!Y19)</f>
        <v>4120.546131</v>
      </c>
      <c r="H12" s="51"/>
      <c r="J12" s="61">
        <f t="shared" si="0"/>
        <v>1769.1275127199995</v>
      </c>
      <c r="K12" s="60">
        <f t="shared" si="1"/>
        <v>17785.86272928</v>
      </c>
    </row>
    <row r="13" spans="1:11" ht="14.25">
      <c r="A13" s="49" t="s">
        <v>53</v>
      </c>
      <c r="B13" s="50" t="s">
        <v>14</v>
      </c>
      <c r="C13" s="53">
        <f>SUM(C14:C15)</f>
        <v>5065.413076</v>
      </c>
      <c r="D13" s="53">
        <f>SUM(D14:D15)</f>
        <v>959.7299039999999</v>
      </c>
      <c r="E13" s="54">
        <f>D13*1.18</f>
        <v>1132.4812867199998</v>
      </c>
      <c r="F13" s="54">
        <f>C13-E13</f>
        <v>3932.93178928</v>
      </c>
      <c r="G13" s="53">
        <f>SUM(G14:G15)</f>
        <v>2273.2425000000003</v>
      </c>
      <c r="H13" s="53">
        <f>SUM(H14:H15)</f>
        <v>0</v>
      </c>
      <c r="I13" s="61">
        <f>SUM(C13:H13)</f>
        <v>13363.798556</v>
      </c>
      <c r="J13" s="61">
        <f t="shared" si="0"/>
        <v>1132.4812867199998</v>
      </c>
      <c r="K13" s="60">
        <f t="shared" si="1"/>
        <v>3932.93178928</v>
      </c>
    </row>
    <row r="14" spans="1:11" ht="14.25">
      <c r="A14" s="55">
        <v>1</v>
      </c>
      <c r="B14" s="50" t="s">
        <v>773</v>
      </c>
      <c r="C14" s="53">
        <f>SUM('护坡（改后）'!E31)</f>
        <v>3004.519018</v>
      </c>
      <c r="D14" s="53">
        <f>SUM('护坡（改后）'!L31)</f>
        <v>479.86495199999996</v>
      </c>
      <c r="E14" s="53"/>
      <c r="F14" s="53"/>
      <c r="G14" s="53">
        <f>SUM('护坡（改后）'!O31+'护坡（改后）'!S31+'护坡（改后）'!W31)</f>
        <v>1100.5659</v>
      </c>
      <c r="H14" s="53">
        <v>0</v>
      </c>
      <c r="J14" s="61">
        <f t="shared" si="0"/>
        <v>566.2406433599999</v>
      </c>
      <c r="K14" s="60">
        <f t="shared" si="1"/>
        <v>2438.27837464</v>
      </c>
    </row>
    <row r="15" spans="1:11" ht="14.25">
      <c r="A15" s="55">
        <v>2</v>
      </c>
      <c r="B15" s="50" t="s">
        <v>774</v>
      </c>
      <c r="C15" s="53">
        <f>SUM('护坡（改后）'!F31)</f>
        <v>2060.894058</v>
      </c>
      <c r="D15" s="53">
        <f>SUM('护坡（改后）'!M31)</f>
        <v>479.86495199999996</v>
      </c>
      <c r="E15" s="53"/>
      <c r="F15" s="53"/>
      <c r="G15" s="53">
        <f>SUM('护坡（改后）'!P31+'护坡（改后）'!U31+'护坡（改后）'!Y31)</f>
        <v>1172.6766</v>
      </c>
      <c r="H15" s="53">
        <v>0</v>
      </c>
      <c r="J15" s="61">
        <f t="shared" si="0"/>
        <v>566.2406433599999</v>
      </c>
      <c r="K15" s="60">
        <f t="shared" si="1"/>
        <v>1494.65341464</v>
      </c>
    </row>
    <row r="16" spans="1:11" ht="14.25">
      <c r="A16" s="49" t="s">
        <v>13</v>
      </c>
      <c r="B16" s="50" t="s">
        <v>775</v>
      </c>
      <c r="C16" s="54">
        <f>SUM(C17)</f>
        <v>615</v>
      </c>
      <c r="D16" s="54">
        <f>SUM(D17)</f>
        <v>237</v>
      </c>
      <c r="E16" s="54">
        <f>D16*1.18</f>
        <v>279.65999999999997</v>
      </c>
      <c r="F16" s="54">
        <f>C16-E16</f>
        <v>335.34000000000003</v>
      </c>
      <c r="G16" s="54">
        <f>SUM(G17)</f>
        <v>186.25</v>
      </c>
      <c r="H16" s="54">
        <f>SUM(H17)</f>
        <v>70.78</v>
      </c>
      <c r="I16" s="61">
        <f>SUM(C16:H16)</f>
        <v>1724.03</v>
      </c>
      <c r="J16" s="61">
        <f t="shared" si="0"/>
        <v>279.65999999999997</v>
      </c>
      <c r="K16" s="60">
        <f t="shared" si="1"/>
        <v>335.34000000000003</v>
      </c>
    </row>
    <row r="17" spans="1:11" ht="14.25">
      <c r="A17" s="55">
        <v>1</v>
      </c>
      <c r="B17" s="50" t="s">
        <v>143</v>
      </c>
      <c r="C17" s="54">
        <f>SUM('闸工程量'!I13)</f>
        <v>615</v>
      </c>
      <c r="D17" s="51">
        <f>SUM('闸工程量'!J13+'闸工程量'!K13)</f>
        <v>237</v>
      </c>
      <c r="E17" s="51"/>
      <c r="F17" s="51"/>
      <c r="G17" s="51">
        <f>SUM('闸工程量'!E13+'闸工程量'!F13+'闸工程量'!G13+'闸工程量'!L13)</f>
        <v>186.25</v>
      </c>
      <c r="H17" s="51">
        <f>SUM('闸工程量'!B13+'闸工程量'!C13)</f>
        <v>70.78</v>
      </c>
      <c r="J17" s="61">
        <f t="shared" si="0"/>
        <v>279.65999999999997</v>
      </c>
      <c r="K17" s="60">
        <f t="shared" si="1"/>
        <v>335.34000000000003</v>
      </c>
    </row>
    <row r="18" spans="1:11" ht="14.25">
      <c r="A18" s="570" t="s">
        <v>276</v>
      </c>
      <c r="B18" s="571"/>
      <c r="C18" s="56">
        <f aca="true" t="shared" si="2" ref="C18:H18">C4+C16</f>
        <v>272958.746429</v>
      </c>
      <c r="D18" s="56">
        <f t="shared" si="2"/>
        <v>96002.6195575</v>
      </c>
      <c r="E18" s="56">
        <f t="shared" si="2"/>
        <v>279.65999999999997</v>
      </c>
      <c r="F18" s="56">
        <f t="shared" si="2"/>
        <v>335.34000000000003</v>
      </c>
      <c r="G18" s="56">
        <f t="shared" si="2"/>
        <v>50226.11509703329</v>
      </c>
      <c r="H18" s="56">
        <f t="shared" si="2"/>
        <v>442.38</v>
      </c>
      <c r="J18" s="61">
        <f t="shared" si="0"/>
        <v>113283.09107785</v>
      </c>
      <c r="K18" s="60">
        <f t="shared" si="1"/>
        <v>159675.65535115</v>
      </c>
    </row>
    <row r="19" spans="1:11" ht="14.25">
      <c r="A19" s="57"/>
      <c r="B19" s="50"/>
      <c r="C19" s="54">
        <v>820</v>
      </c>
      <c r="D19" s="51">
        <v>820</v>
      </c>
      <c r="E19" s="51"/>
      <c r="F19" s="51"/>
      <c r="G19" s="51"/>
      <c r="H19" s="51"/>
      <c r="K19" s="60">
        <f>K7+K9</f>
        <v>6290.635842810007</v>
      </c>
    </row>
    <row r="20" spans="1:8" ht="14.25">
      <c r="A20" s="57"/>
      <c r="B20" s="50"/>
      <c r="C20" s="54">
        <v>1596</v>
      </c>
      <c r="D20" s="51">
        <v>1596</v>
      </c>
      <c r="E20" s="51"/>
      <c r="F20" s="51"/>
      <c r="G20" s="51"/>
      <c r="H20" s="51"/>
    </row>
    <row r="21" spans="1:10" ht="15.75" customHeight="1">
      <c r="A21" s="570" t="s">
        <v>276</v>
      </c>
      <c r="B21" s="571"/>
      <c r="C21" s="53">
        <f>SUM(C4+C16+C19+C20)</f>
        <v>275374.746429</v>
      </c>
      <c r="D21" s="53">
        <f>SUM(D4+D16+D19+D20)</f>
        <v>98418.6195575</v>
      </c>
      <c r="E21" s="53"/>
      <c r="F21" s="53"/>
      <c r="G21" s="53">
        <f>SUM(G4+G16)</f>
        <v>50226.11509703329</v>
      </c>
      <c r="H21" s="53">
        <f>SUM(H4+H16)</f>
        <v>442.38</v>
      </c>
      <c r="I21" s="61">
        <f>SUM(C21:H21)</f>
        <v>424461.86108353327</v>
      </c>
      <c r="J21" s="61">
        <f>J5+J10+J13</f>
        <v>113003.43107784998</v>
      </c>
    </row>
    <row r="22" spans="1:10" ht="15.75" customHeight="1">
      <c r="A22" s="58"/>
      <c r="B22" s="58"/>
      <c r="C22" s="59"/>
      <c r="D22" s="59">
        <f>D19+D20+D21</f>
        <v>100834.6195575</v>
      </c>
      <c r="E22" s="59">
        <f>D21*1.18+D19+D20</f>
        <v>118549.97107785</v>
      </c>
      <c r="F22" s="59">
        <f>C21-E22</f>
        <v>156824.77535115</v>
      </c>
      <c r="G22" s="59"/>
      <c r="H22" s="59">
        <f>C7-J7+K9</f>
        <v>6290.635842810007</v>
      </c>
      <c r="I22" s="61"/>
      <c r="J22" s="61">
        <f>SUM(J16:J17)</f>
        <v>559.3199999999999</v>
      </c>
    </row>
    <row r="23" spans="4:7" ht="14.25">
      <c r="D23">
        <f>C21-D21*1.18</f>
        <v>159240.77535115</v>
      </c>
      <c r="E23" s="60">
        <f>C21+D22</f>
        <v>376209.3659865</v>
      </c>
      <c r="F23">
        <f>SUM(F5:F16)</f>
        <v>159675.65535115002</v>
      </c>
      <c r="G23" s="61">
        <f>SUM(C21:G21)</f>
        <v>424019.48108353326</v>
      </c>
    </row>
    <row r="24" spans="2:6" ht="14.25">
      <c r="B24">
        <f>27.54-11.57</f>
        <v>15.969999999999999</v>
      </c>
      <c r="C24" s="61">
        <f>SUM(C21:D21)</f>
        <v>373793.3659865</v>
      </c>
      <c r="D24">
        <f>D21*1.18</f>
        <v>116133.97107785</v>
      </c>
      <c r="E24">
        <f>SUM(E5:E16)</f>
        <v>113283.09107784998</v>
      </c>
      <c r="F24">
        <f>SUM(F5:F16)</f>
        <v>159675.65535115002</v>
      </c>
    </row>
    <row r="25" spans="3:6" ht="14.25">
      <c r="C25" s="60">
        <f>SUM(C18:D18)</f>
        <v>368961.3659865</v>
      </c>
      <c r="D25" s="53">
        <f>C21-D24</f>
        <v>159240.77535115</v>
      </c>
      <c r="E25" s="59">
        <f>E24+D19+D20</f>
        <v>115699.09107784998</v>
      </c>
      <c r="F25" s="59"/>
    </row>
    <row r="27" spans="1:8" ht="14.25">
      <c r="A27" s="574" t="s">
        <v>776</v>
      </c>
      <c r="B27" s="574" t="s">
        <v>777</v>
      </c>
      <c r="C27" s="574" t="s">
        <v>778</v>
      </c>
      <c r="D27" s="574" t="s">
        <v>779</v>
      </c>
      <c r="E27" s="572" t="s">
        <v>780</v>
      </c>
      <c r="F27" s="573"/>
      <c r="G27" s="572" t="s">
        <v>781</v>
      </c>
      <c r="H27" s="573"/>
    </row>
    <row r="28" spans="1:8" ht="14.25">
      <c r="A28" s="575"/>
      <c r="B28" s="575"/>
      <c r="C28" s="575"/>
      <c r="D28" s="575"/>
      <c r="E28" s="62" t="s">
        <v>44</v>
      </c>
      <c r="F28" s="62" t="s">
        <v>782</v>
      </c>
      <c r="G28" s="62" t="s">
        <v>44</v>
      </c>
      <c r="H28" s="62" t="s">
        <v>783</v>
      </c>
    </row>
    <row r="29" spans="1:8" ht="14.25">
      <c r="A29" s="49" t="s">
        <v>12</v>
      </c>
      <c r="B29" s="51">
        <v>23.65</v>
      </c>
      <c r="C29" s="51">
        <v>8.66</v>
      </c>
      <c r="D29" s="51">
        <v>10.22</v>
      </c>
      <c r="E29" s="63"/>
      <c r="F29" s="62" t="s">
        <v>784</v>
      </c>
      <c r="G29" s="51">
        <v>13.43</v>
      </c>
      <c r="H29" s="62" t="s">
        <v>785</v>
      </c>
    </row>
    <row r="30" spans="1:8" ht="14.25">
      <c r="A30" s="49" t="s">
        <v>770</v>
      </c>
      <c r="B30" s="51">
        <v>3.34</v>
      </c>
      <c r="C30" s="51">
        <v>0.35</v>
      </c>
      <c r="D30" s="51">
        <v>0.41</v>
      </c>
      <c r="E30" s="51"/>
      <c r="F30" s="54"/>
      <c r="G30" s="51">
        <v>2.93</v>
      </c>
      <c r="H30" s="54"/>
    </row>
    <row r="31" spans="1:8" ht="14.25">
      <c r="A31" s="49" t="s">
        <v>14</v>
      </c>
      <c r="B31" s="51">
        <v>0.42</v>
      </c>
      <c r="C31" s="51">
        <v>0.09</v>
      </c>
      <c r="D31" s="51">
        <v>0.11</v>
      </c>
      <c r="E31" s="62"/>
      <c r="F31" s="62"/>
      <c r="G31" s="51">
        <v>0.31</v>
      </c>
      <c r="H31" s="62" t="s">
        <v>785</v>
      </c>
    </row>
    <row r="32" spans="1:8" ht="25.5">
      <c r="A32" s="49" t="s">
        <v>775</v>
      </c>
      <c r="B32" s="51">
        <v>0.06</v>
      </c>
      <c r="C32" s="51">
        <v>0.0237</v>
      </c>
      <c r="D32" s="51">
        <v>0.03</v>
      </c>
      <c r="E32" s="62"/>
      <c r="F32" s="62"/>
      <c r="G32" s="51">
        <v>0.03</v>
      </c>
      <c r="H32" s="62" t="s">
        <v>785</v>
      </c>
    </row>
    <row r="33" spans="1:8" ht="25.5">
      <c r="A33" s="49" t="s">
        <v>786</v>
      </c>
      <c r="B33" s="51">
        <v>0.08</v>
      </c>
      <c r="C33" s="51">
        <v>0.08</v>
      </c>
      <c r="D33" s="51">
        <v>0.08</v>
      </c>
      <c r="E33" s="62"/>
      <c r="F33" s="62"/>
      <c r="G33" s="51">
        <v>0</v>
      </c>
      <c r="H33" s="62" t="s">
        <v>787</v>
      </c>
    </row>
    <row r="34" spans="1:8" ht="25.5">
      <c r="A34" s="49" t="s">
        <v>788</v>
      </c>
      <c r="B34" s="51">
        <v>0.16</v>
      </c>
      <c r="C34" s="51">
        <v>0.16</v>
      </c>
      <c r="D34" s="51">
        <v>0.16</v>
      </c>
      <c r="E34" s="62"/>
      <c r="F34" s="62"/>
      <c r="G34" s="51">
        <v>0</v>
      </c>
      <c r="H34" s="62" t="s">
        <v>789</v>
      </c>
    </row>
    <row r="35" spans="1:8" ht="14.25">
      <c r="A35" s="49" t="s">
        <v>276</v>
      </c>
      <c r="B35" s="54">
        <f aca="true" t="shared" si="3" ref="B35:G35">SUM(B29:B34)</f>
        <v>27.709999999999997</v>
      </c>
      <c r="C35" s="64">
        <f t="shared" si="3"/>
        <v>9.3637</v>
      </c>
      <c r="D35" s="64">
        <f t="shared" si="3"/>
        <v>11.01</v>
      </c>
      <c r="E35" s="64">
        <f t="shared" si="3"/>
        <v>0</v>
      </c>
      <c r="F35" s="64">
        <f t="shared" si="3"/>
        <v>0</v>
      </c>
      <c r="G35" s="64">
        <f t="shared" si="3"/>
        <v>16.7</v>
      </c>
      <c r="H35" s="50"/>
    </row>
    <row r="37" spans="4:7" ht="14.25">
      <c r="D37" s="61">
        <f>C29*1.18</f>
        <v>10.2188</v>
      </c>
      <c r="G37" s="60">
        <f>B29-D37</f>
        <v>13.431199999999999</v>
      </c>
    </row>
    <row r="38" spans="4:7" ht="14.25">
      <c r="D38" s="61">
        <f>C30*1.18</f>
        <v>0.413</v>
      </c>
      <c r="G38" s="60">
        <f>B30-D38</f>
        <v>2.927</v>
      </c>
    </row>
    <row r="39" spans="4:7" ht="14.25">
      <c r="D39" s="61">
        <f>C31*1.18</f>
        <v>0.10619999999999999</v>
      </c>
      <c r="G39" s="60">
        <f>B31-D39</f>
        <v>0.31379999999999997</v>
      </c>
    </row>
    <row r="40" spans="4:7" ht="14.25">
      <c r="D40" s="61">
        <f>C32*1.18</f>
        <v>0.027965999999999998</v>
      </c>
      <c r="G40" s="60">
        <f>B32-D40</f>
        <v>0.032034</v>
      </c>
    </row>
    <row r="41" spans="4:7" ht="14.25">
      <c r="D41" s="61"/>
      <c r="G41" s="60"/>
    </row>
  </sheetData>
  <sheetProtection/>
  <mergeCells count="10">
    <mergeCell ref="A18:B18"/>
    <mergeCell ref="A21:B21"/>
    <mergeCell ref="E27:F27"/>
    <mergeCell ref="G27:H27"/>
    <mergeCell ref="A2:A3"/>
    <mergeCell ref="A27:A28"/>
    <mergeCell ref="B2:B3"/>
    <mergeCell ref="B27:B28"/>
    <mergeCell ref="C27:C28"/>
    <mergeCell ref="D27:D28"/>
  </mergeCells>
  <printOptions/>
  <pageMargins left="0.7" right="0.7" top="0.75" bottom="0.75" header="0.3" footer="0.3"/>
  <pageSetup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K26" sqref="K26"/>
    </sheetView>
  </sheetViews>
  <sheetFormatPr defaultColWidth="8.75390625" defaultRowHeight="14.25"/>
  <cols>
    <col min="1" max="1" width="8.75390625" style="45" customWidth="1"/>
    <col min="2" max="4" width="9.50390625" style="45" bestFit="1" customWidth="1"/>
    <col min="5" max="16384" width="8.75390625" style="45" customWidth="1"/>
  </cols>
  <sheetData>
    <row r="2" ht="14.25">
      <c r="A2" s="45" t="s">
        <v>790</v>
      </c>
    </row>
    <row r="4" ht="14.25">
      <c r="A4" s="45" t="s">
        <v>791</v>
      </c>
    </row>
    <row r="8" ht="14.25">
      <c r="A8" s="45" t="s">
        <v>792</v>
      </c>
    </row>
    <row r="9" ht="14.25">
      <c r="A9" s="45" t="s">
        <v>791</v>
      </c>
    </row>
    <row r="10" spans="1:4" ht="14.25">
      <c r="A10" s="45" t="s">
        <v>793</v>
      </c>
      <c r="D10" s="46" t="e">
        <f>C14*0.9*1*1</f>
        <v>#REF!</v>
      </c>
    </row>
    <row r="11" spans="1:3" ht="14.25">
      <c r="A11" s="45" t="s">
        <v>2</v>
      </c>
      <c r="B11" s="45" t="s">
        <v>794</v>
      </c>
      <c r="C11" s="45" t="s">
        <v>795</v>
      </c>
    </row>
    <row r="12" spans="1:3" ht="14.25">
      <c r="A12" s="45">
        <v>1</v>
      </c>
      <c r="B12" s="45">
        <v>500</v>
      </c>
      <c r="C12" s="45">
        <v>16.5</v>
      </c>
    </row>
    <row r="13" spans="1:3" ht="14.25">
      <c r="A13" s="45">
        <v>2</v>
      </c>
      <c r="B13" s="45">
        <v>1000</v>
      </c>
      <c r="C13" s="45">
        <v>30.1</v>
      </c>
    </row>
    <row r="14" spans="1:3" ht="14.25">
      <c r="A14" s="45" t="s">
        <v>796</v>
      </c>
      <c r="B14" s="47" t="e">
        <f>SUM(#REF!+#REF!+#REF!+#REF!)</f>
        <v>#REF!</v>
      </c>
      <c r="C14" s="46" t="e">
        <f>(C15-C13)/(B15-B13)*(B14-B13)+C13</f>
        <v>#REF!</v>
      </c>
    </row>
    <row r="15" spans="1:3" ht="14.25">
      <c r="A15" s="45">
        <v>3</v>
      </c>
      <c r="B15" s="45">
        <v>3000</v>
      </c>
      <c r="C15" s="45">
        <v>78.1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="145" zoomScaleNormal="145" workbookViewId="0" topLeftCell="A1">
      <selection activeCell="G6" sqref="G6"/>
    </sheetView>
  </sheetViews>
  <sheetFormatPr defaultColWidth="8.625" defaultRowHeight="14.25"/>
  <cols>
    <col min="1" max="1" width="5.75390625" style="27" customWidth="1"/>
    <col min="2" max="2" width="23.75390625" style="27" customWidth="1"/>
    <col min="3" max="4" width="7.25390625" style="27" customWidth="1"/>
    <col min="5" max="5" width="11.625" style="27" customWidth="1"/>
    <col min="6" max="6" width="14.00390625" style="27" customWidth="1"/>
    <col min="7" max="8" width="9.00390625" style="27" bestFit="1" customWidth="1"/>
    <col min="9" max="10" width="8.625" style="27" hidden="1" customWidth="1"/>
    <col min="11" max="11" width="9.00390625" style="27" bestFit="1" customWidth="1"/>
    <col min="12" max="12" width="10.25390625" style="27" customWidth="1"/>
    <col min="13" max="13" width="31.00390625" style="27" customWidth="1"/>
    <col min="14" max="14" width="38.125" style="27" customWidth="1"/>
    <col min="15" max="15" width="19.375" style="27" customWidth="1"/>
    <col min="16" max="16" width="16.25390625" style="27" customWidth="1"/>
    <col min="17" max="31" width="9.00390625" style="27" bestFit="1" customWidth="1"/>
    <col min="32" max="16384" width="8.625" style="27" customWidth="1"/>
  </cols>
  <sheetData>
    <row r="1" spans="1:6" ht="20.25">
      <c r="A1" s="444" t="s">
        <v>153</v>
      </c>
      <c r="B1" s="444"/>
      <c r="C1" s="444"/>
      <c r="D1" s="444"/>
      <c r="E1" s="444"/>
      <c r="F1" s="444"/>
    </row>
    <row r="2" spans="1:6" ht="14.25">
      <c r="A2" s="331"/>
      <c r="B2" s="445"/>
      <c r="C2" s="445"/>
      <c r="D2" s="445"/>
      <c r="E2" s="445"/>
      <c r="F2" s="445"/>
    </row>
    <row r="3" spans="1:6" ht="39" customHeight="1">
      <c r="A3" s="332" t="s">
        <v>2</v>
      </c>
      <c r="B3" s="332" t="s">
        <v>3</v>
      </c>
      <c r="C3" s="332" t="s">
        <v>43</v>
      </c>
      <c r="D3" s="332" t="s">
        <v>44</v>
      </c>
      <c r="E3" s="332" t="s">
        <v>45</v>
      </c>
      <c r="F3" s="332" t="s">
        <v>154</v>
      </c>
    </row>
    <row r="4" spans="1:6" ht="19.5" customHeight="1">
      <c r="A4" s="332"/>
      <c r="B4" s="332" t="s">
        <v>155</v>
      </c>
      <c r="C4" s="332"/>
      <c r="D4" s="332"/>
      <c r="E4" s="332"/>
      <c r="F4" s="340"/>
    </row>
    <row r="5" spans="1:10" ht="19.5" customHeight="1">
      <c r="A5" s="332" t="s">
        <v>11</v>
      </c>
      <c r="B5" s="332" t="s">
        <v>24</v>
      </c>
      <c r="C5" s="332" t="s">
        <v>156</v>
      </c>
      <c r="D5" s="332">
        <v>1</v>
      </c>
      <c r="E5" s="340">
        <f>SUM('建筑工程'!F4+'机电'!H5+'金结'!H6)*10000</f>
        <v>6649.548900711239</v>
      </c>
      <c r="F5" s="340">
        <f>E5*D5/100/10000</f>
        <v>0.00664954890071124</v>
      </c>
      <c r="I5" s="27">
        <v>500</v>
      </c>
      <c r="J5" s="27">
        <v>16.5</v>
      </c>
    </row>
    <row r="6" spans="1:6" ht="19.5" customHeight="1">
      <c r="A6" s="332" t="s">
        <v>157</v>
      </c>
      <c r="B6" s="332" t="s">
        <v>158</v>
      </c>
      <c r="C6" s="332"/>
      <c r="D6" s="341"/>
      <c r="E6" s="342"/>
      <c r="F6" s="340">
        <f>SUM(F7)</f>
        <v>0.01329909780142248</v>
      </c>
    </row>
    <row r="7" spans="1:6" ht="19.5" customHeight="1">
      <c r="A7" s="332" t="s">
        <v>49</v>
      </c>
      <c r="B7" s="332" t="s">
        <v>159</v>
      </c>
      <c r="C7" s="332" t="s">
        <v>156</v>
      </c>
      <c r="D7" s="341">
        <v>2</v>
      </c>
      <c r="E7" s="340">
        <f>SUM('建筑工程'!F4+'机电'!H5+'金结'!H6)*10000</f>
        <v>6649.548900711239</v>
      </c>
      <c r="F7" s="340">
        <f>D7*E7/100/10000</f>
        <v>0.01329909780142248</v>
      </c>
    </row>
    <row r="8" ht="19.5" customHeight="1">
      <c r="F8" s="293"/>
    </row>
    <row r="9" ht="19.5" customHeight="1">
      <c r="L9" s="343"/>
    </row>
    <row r="10" ht="19.5" customHeight="1"/>
  </sheetData>
  <sheetProtection/>
  <mergeCells count="2">
    <mergeCell ref="A1:F1"/>
    <mergeCell ref="B2:F2"/>
  </mergeCells>
  <printOptions horizontalCentered="1"/>
  <pageMargins left="0.7480314960629921" right="0.7480314960629921" top="0.9842519685039371" bottom="0.9842519685039371" header="0.5118110236220472" footer="0.5118110236220472"/>
  <pageSetup horizontalDpi="200" verticalDpi="200" orientation="portrait" paperSize="9"/>
  <headerFooter alignWithMargins="0">
    <oddFooter>&amp;C-&amp;P&amp;--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5"/>
  </sheetPr>
  <dimension ref="A1:H36"/>
  <sheetViews>
    <sheetView workbookViewId="0" topLeftCell="A1">
      <selection activeCell="F22" sqref="F22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180</v>
      </c>
      <c r="C3" s="465"/>
      <c r="D3" s="465"/>
      <c r="E3" s="29" t="s">
        <v>38</v>
      </c>
      <c r="F3" s="30"/>
    </row>
    <row r="4" spans="1:6" ht="21" customHeight="1">
      <c r="A4" s="29" t="s">
        <v>251</v>
      </c>
      <c r="B4" s="465" t="s">
        <v>797</v>
      </c>
      <c r="C4" s="466"/>
      <c r="D4" s="466"/>
      <c r="E4" s="29" t="s">
        <v>43</v>
      </c>
      <c r="F4" s="29" t="s">
        <v>345</v>
      </c>
    </row>
    <row r="5" spans="1:6" ht="19.5" customHeight="1">
      <c r="A5" s="465" t="s">
        <v>385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 t="e">
        <f>F10+F22</f>
        <v>#REF!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 t="e">
        <f>F11+F16+F20</f>
        <v>#REF!</v>
      </c>
    </row>
    <row r="11" spans="1:6" ht="19.5" customHeight="1">
      <c r="A11" s="29">
        <v>1</v>
      </c>
      <c r="B11" s="29" t="s">
        <v>162</v>
      </c>
      <c r="C11" s="29"/>
      <c r="D11" s="31"/>
      <c r="E11" s="31"/>
      <c r="F11" s="32">
        <f>SUM(F12:F15)</f>
        <v>5854.1497</v>
      </c>
    </row>
    <row r="12" spans="1:6" ht="19.5" customHeight="1">
      <c r="A12" s="29"/>
      <c r="B12" s="29" t="s">
        <v>262</v>
      </c>
      <c r="C12" s="29" t="s">
        <v>291</v>
      </c>
      <c r="D12" s="31">
        <v>35.27</v>
      </c>
      <c r="E12" s="31">
        <f>'工长'!G20</f>
        <v>11.98</v>
      </c>
      <c r="F12" s="32">
        <f>D12*E12</f>
        <v>422.53460000000007</v>
      </c>
    </row>
    <row r="13" spans="1:6" ht="19.5" customHeight="1">
      <c r="A13" s="29"/>
      <c r="B13" s="29" t="s">
        <v>264</v>
      </c>
      <c r="C13" s="29" t="s">
        <v>291</v>
      </c>
      <c r="D13" s="31">
        <v>35.27</v>
      </c>
      <c r="E13" s="31">
        <f>'高级工'!G20</f>
        <v>11.09</v>
      </c>
      <c r="F13" s="32">
        <f>D13*E13</f>
        <v>391.14430000000004</v>
      </c>
    </row>
    <row r="14" spans="1:6" ht="19.5" customHeight="1">
      <c r="A14" s="29"/>
      <c r="B14" s="29" t="s">
        <v>265</v>
      </c>
      <c r="C14" s="29" t="s">
        <v>291</v>
      </c>
      <c r="D14" s="31">
        <v>317.41</v>
      </c>
      <c r="E14" s="31">
        <f>'中级工'!G20</f>
        <v>9.33</v>
      </c>
      <c r="F14" s="32">
        <f>D14*E14</f>
        <v>2961.4353</v>
      </c>
    </row>
    <row r="15" spans="1:8" ht="19.5" customHeight="1">
      <c r="A15" s="29"/>
      <c r="B15" s="29" t="s">
        <v>266</v>
      </c>
      <c r="C15" s="29" t="s">
        <v>291</v>
      </c>
      <c r="D15" s="31">
        <v>317.41</v>
      </c>
      <c r="E15" s="31">
        <f>'初级工'!G20</f>
        <v>6.55</v>
      </c>
      <c r="F15" s="32">
        <f>D15*E15</f>
        <v>2079.0355</v>
      </c>
      <c r="H15" s="42"/>
    </row>
    <row r="16" spans="1:6" ht="19.5" customHeight="1">
      <c r="A16" s="29">
        <v>2</v>
      </c>
      <c r="B16" s="29" t="s">
        <v>163</v>
      </c>
      <c r="C16" s="29"/>
      <c r="D16" s="33"/>
      <c r="E16" s="31"/>
      <c r="F16" s="31" t="e">
        <f>SUM(F17:F19)</f>
        <v>#REF!</v>
      </c>
    </row>
    <row r="17" spans="1:6" ht="19.5" customHeight="1" hidden="1">
      <c r="A17" s="29"/>
      <c r="B17" s="29" t="s">
        <v>267</v>
      </c>
      <c r="C17" s="43" t="s">
        <v>196</v>
      </c>
      <c r="D17" s="33">
        <v>0</v>
      </c>
      <c r="E17" s="31">
        <v>70</v>
      </c>
      <c r="F17" s="31">
        <f>D17*E17</f>
        <v>0</v>
      </c>
    </row>
    <row r="18" spans="1:6" ht="19.5" customHeight="1">
      <c r="A18" s="29"/>
      <c r="B18" s="29" t="s">
        <v>267</v>
      </c>
      <c r="C18" s="43" t="s">
        <v>196</v>
      </c>
      <c r="D18" s="33">
        <v>123.2</v>
      </c>
      <c r="E18" s="31">
        <v>70</v>
      </c>
      <c r="F18" s="31">
        <f>D18*E18</f>
        <v>8624</v>
      </c>
    </row>
    <row r="19" spans="1:6" ht="19.5" customHeight="1">
      <c r="A19" s="29"/>
      <c r="B19" s="29" t="s">
        <v>278</v>
      </c>
      <c r="C19" s="43" t="s">
        <v>196</v>
      </c>
      <c r="D19" s="33">
        <v>58.7</v>
      </c>
      <c r="E19" s="31" t="e">
        <f>SUM(#REF!)</f>
        <v>#REF!</v>
      </c>
      <c r="F19" s="31" t="e">
        <f>D19*E19</f>
        <v>#REF!</v>
      </c>
    </row>
    <row r="20" spans="1:6" ht="19.5" customHeight="1">
      <c r="A20" s="29">
        <v>3</v>
      </c>
      <c r="B20" s="29" t="s">
        <v>294</v>
      </c>
      <c r="C20" s="29"/>
      <c r="D20" s="33"/>
      <c r="E20" s="35"/>
      <c r="F20" s="31">
        <f>SUM(F21)</f>
        <v>1494.9227409856298</v>
      </c>
    </row>
    <row r="21" spans="1:6" ht="19.5" customHeight="1">
      <c r="A21" s="29"/>
      <c r="B21" s="29" t="s">
        <v>798</v>
      </c>
      <c r="C21" s="29" t="s">
        <v>179</v>
      </c>
      <c r="D21" s="31">
        <v>27.44</v>
      </c>
      <c r="E21" s="31">
        <f>SUM('台时-2'!C21)</f>
        <v>54.47969172688155</v>
      </c>
      <c r="F21" s="31">
        <f>D21*E21</f>
        <v>1494.9227409856298</v>
      </c>
    </row>
    <row r="22" spans="1:6" ht="19.5" customHeight="1">
      <c r="A22" s="29" t="s">
        <v>57</v>
      </c>
      <c r="B22" s="29" t="s">
        <v>165</v>
      </c>
      <c r="C22" s="29" t="s">
        <v>156</v>
      </c>
      <c r="D22" s="29">
        <v>7.6</v>
      </c>
      <c r="E22" s="29"/>
      <c r="F22" s="31" t="e">
        <f>F10*D22/100</f>
        <v>#REF!</v>
      </c>
    </row>
    <row r="23" spans="1:6" ht="19.5" customHeight="1">
      <c r="A23" s="29" t="s">
        <v>13</v>
      </c>
      <c r="B23" s="29" t="s">
        <v>166</v>
      </c>
      <c r="C23" s="29" t="s">
        <v>156</v>
      </c>
      <c r="D23" s="29">
        <v>9.5</v>
      </c>
      <c r="E23" s="29"/>
      <c r="F23" s="31" t="e">
        <f>F9*D23/100</f>
        <v>#REF!</v>
      </c>
    </row>
    <row r="24" spans="1:6" ht="19.5" customHeight="1">
      <c r="A24" s="29" t="s">
        <v>21</v>
      </c>
      <c r="B24" s="29" t="s">
        <v>296</v>
      </c>
      <c r="C24" s="29" t="s">
        <v>156</v>
      </c>
      <c r="D24" s="29">
        <v>7</v>
      </c>
      <c r="E24" s="29"/>
      <c r="F24" s="31" t="e">
        <f>(F9+F23)*D24/100</f>
        <v>#REF!</v>
      </c>
    </row>
    <row r="25" spans="1:6" ht="19.5" customHeight="1">
      <c r="A25" s="29" t="s">
        <v>60</v>
      </c>
      <c r="B25" s="29" t="s">
        <v>297</v>
      </c>
      <c r="C25" s="29"/>
      <c r="D25" s="33"/>
      <c r="E25" s="31"/>
      <c r="F25" s="31" t="e">
        <f>D18*(#REF!-70)+D21*'台时-2'!H21/1000*(#REF!-3075)</f>
        <v>#REF!</v>
      </c>
    </row>
    <row r="26" spans="1:6" ht="19.5" customHeight="1">
      <c r="A26" s="29" t="s">
        <v>62</v>
      </c>
      <c r="B26" s="29" t="s">
        <v>167</v>
      </c>
      <c r="C26" s="29" t="s">
        <v>156</v>
      </c>
      <c r="D26" s="29">
        <v>11</v>
      </c>
      <c r="E26" s="29"/>
      <c r="F26" s="31" t="e">
        <f>(F9+F23+F24+F25)*D26/100</f>
        <v>#REF!</v>
      </c>
    </row>
    <row r="27" spans="1:6" ht="19.5" customHeight="1" hidden="1">
      <c r="A27" s="29"/>
      <c r="B27" s="29"/>
      <c r="C27" s="29"/>
      <c r="D27" s="29"/>
      <c r="E27" s="29"/>
      <c r="F27" s="31"/>
    </row>
    <row r="28" spans="1:6" ht="19.5" customHeight="1" hidden="1">
      <c r="A28" s="29"/>
      <c r="B28" s="29"/>
      <c r="C28" s="43"/>
      <c r="D28" s="33"/>
      <c r="E28" s="32"/>
      <c r="F28" s="31"/>
    </row>
    <row r="29" spans="1:6" ht="19.5" customHeight="1" hidden="1">
      <c r="A29" s="29"/>
      <c r="B29" s="29"/>
      <c r="C29" s="29"/>
      <c r="D29" s="29"/>
      <c r="E29" s="29"/>
      <c r="F29" s="31"/>
    </row>
    <row r="30" spans="1:6" ht="19.5" customHeight="1" hidden="1">
      <c r="A30" s="29"/>
      <c r="B30" s="29"/>
      <c r="C30" s="29"/>
      <c r="D30" s="29"/>
      <c r="E30" s="29"/>
      <c r="F30" s="31"/>
    </row>
    <row r="31" spans="1:6" ht="19.5" customHeight="1" hidden="1">
      <c r="A31" s="29"/>
      <c r="B31" s="29"/>
      <c r="C31" s="29"/>
      <c r="D31" s="29"/>
      <c r="E31" s="29"/>
      <c r="F31" s="31"/>
    </row>
    <row r="32" spans="1:6" ht="19.5" customHeight="1" hidden="1">
      <c r="A32" s="29"/>
      <c r="B32" s="29"/>
      <c r="C32" s="29"/>
      <c r="D32" s="29"/>
      <c r="E32" s="29"/>
      <c r="F32" s="31"/>
    </row>
    <row r="33" spans="1:6" ht="19.5" customHeight="1">
      <c r="A33" s="29"/>
      <c r="B33" s="31" t="s">
        <v>276</v>
      </c>
      <c r="C33" s="29"/>
      <c r="D33" s="29"/>
      <c r="E33" s="29"/>
      <c r="F33" s="31" t="e">
        <f>SUM(F9+F23+F24+F25+F26)</f>
        <v>#REF!</v>
      </c>
    </row>
    <row r="34" spans="1:6" ht="19.5" customHeight="1" hidden="1">
      <c r="A34" s="29"/>
      <c r="B34" s="31" t="s">
        <v>275</v>
      </c>
      <c r="C34" s="29"/>
      <c r="D34" s="29"/>
      <c r="E34" s="29"/>
      <c r="F34" s="31" t="e">
        <f>F33/100</f>
        <v>#REF!</v>
      </c>
    </row>
    <row r="35" spans="1:6" ht="19.5" customHeight="1">
      <c r="A35" s="29"/>
      <c r="B35" s="31"/>
      <c r="C35" s="29"/>
      <c r="D35" s="29"/>
      <c r="E35" s="29"/>
      <c r="F35" s="31"/>
    </row>
    <row r="36" spans="1:6" ht="22.5" customHeight="1">
      <c r="A36" s="44"/>
      <c r="B36" s="36"/>
      <c r="C36" s="36"/>
      <c r="D36" s="36"/>
      <c r="E36" s="36"/>
      <c r="F36" s="37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4">
    <mergeCell ref="A1:F1"/>
    <mergeCell ref="B3:D3"/>
    <mergeCell ref="B4:D4"/>
    <mergeCell ref="A5:F7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5"/>
  </sheetPr>
  <dimension ref="A1:K31"/>
  <sheetViews>
    <sheetView workbookViewId="0" topLeftCell="A16">
      <selection activeCell="D16" sqref="D16"/>
    </sheetView>
  </sheetViews>
  <sheetFormatPr defaultColWidth="8.625" defaultRowHeight="14.25"/>
  <cols>
    <col min="1" max="1" width="6.25390625" style="27" customWidth="1"/>
    <col min="2" max="2" width="20.00390625" style="27" customWidth="1"/>
    <col min="3" max="3" width="11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11" ht="14.25">
      <c r="A2" s="29" t="s">
        <v>161</v>
      </c>
      <c r="B2" s="465" t="s">
        <v>799</v>
      </c>
      <c r="C2" s="465"/>
      <c r="D2" s="465"/>
      <c r="E2" s="29" t="s">
        <v>38</v>
      </c>
      <c r="F2" s="30"/>
      <c r="I2" s="469"/>
      <c r="J2" s="469"/>
      <c r="K2" s="469"/>
    </row>
    <row r="3" spans="1:6" ht="16.5">
      <c r="A3" s="29" t="s">
        <v>251</v>
      </c>
      <c r="B3" s="465" t="s">
        <v>800</v>
      </c>
      <c r="C3" s="465"/>
      <c r="D3" s="465"/>
      <c r="E3" s="38" t="s">
        <v>43</v>
      </c>
      <c r="F3" s="29" t="s">
        <v>345</v>
      </c>
    </row>
    <row r="4" spans="1:6" ht="19.5" customHeight="1">
      <c r="A4" s="467" t="s">
        <v>801</v>
      </c>
      <c r="B4" s="468"/>
      <c r="C4" s="468"/>
      <c r="D4" s="468"/>
      <c r="E4" s="468"/>
      <c r="F4" s="468"/>
    </row>
    <row r="5" spans="1:6" ht="19.5" customHeight="1">
      <c r="A5" s="468"/>
      <c r="B5" s="468"/>
      <c r="C5" s="468"/>
      <c r="D5" s="468"/>
      <c r="E5" s="468"/>
      <c r="F5" s="468"/>
    </row>
    <row r="6" spans="1:6" ht="13.5" customHeight="1">
      <c r="A6" s="468"/>
      <c r="B6" s="468"/>
      <c r="C6" s="468"/>
      <c r="D6" s="468"/>
      <c r="E6" s="468"/>
      <c r="F6" s="468"/>
    </row>
    <row r="7" spans="1:6" ht="21" customHeight="1">
      <c r="A7" s="39" t="s">
        <v>2</v>
      </c>
      <c r="B7" s="39" t="s">
        <v>184</v>
      </c>
      <c r="C7" s="39" t="s">
        <v>274</v>
      </c>
      <c r="D7" s="39" t="s">
        <v>44</v>
      </c>
      <c r="E7" s="39" t="s">
        <v>275</v>
      </c>
      <c r="F7" s="39" t="s">
        <v>276</v>
      </c>
    </row>
    <row r="8" spans="1:6" ht="21" customHeight="1">
      <c r="A8" s="29" t="s">
        <v>11</v>
      </c>
      <c r="B8" s="29" t="s">
        <v>289</v>
      </c>
      <c r="C8" s="29"/>
      <c r="D8" s="31"/>
      <c r="E8" s="31"/>
      <c r="F8" s="32" t="e">
        <f>F9+F24</f>
        <v>#REF!</v>
      </c>
    </row>
    <row r="9" spans="1:6" ht="21" customHeight="1">
      <c r="A9" s="29" t="s">
        <v>49</v>
      </c>
      <c r="B9" s="29" t="s">
        <v>290</v>
      </c>
      <c r="C9" s="29"/>
      <c r="D9" s="29"/>
      <c r="E9" s="31"/>
      <c r="F9" s="32" t="e">
        <f>F10+F12+F14</f>
        <v>#REF!</v>
      </c>
    </row>
    <row r="10" spans="1:6" ht="21" customHeight="1">
      <c r="A10" s="29">
        <v>1</v>
      </c>
      <c r="B10" s="29" t="s">
        <v>162</v>
      </c>
      <c r="C10" s="29"/>
      <c r="D10" s="29"/>
      <c r="E10" s="31"/>
      <c r="F10" s="32">
        <f>SUM(F11:F11)</f>
        <v>198.59600000000003</v>
      </c>
    </row>
    <row r="11" spans="1:6" ht="21" customHeight="1">
      <c r="A11" s="29"/>
      <c r="B11" s="29" t="s">
        <v>266</v>
      </c>
      <c r="C11" s="29" t="s">
        <v>291</v>
      </c>
      <c r="D11" s="31">
        <f>7*1.18+21.8+1.3*0.2</f>
        <v>30.320000000000004</v>
      </c>
      <c r="E11" s="31">
        <f>'初级工'!G20</f>
        <v>6.55</v>
      </c>
      <c r="F11" s="31">
        <f>D11*E11</f>
        <v>198.59600000000003</v>
      </c>
    </row>
    <row r="12" spans="1:6" ht="21" customHeight="1">
      <c r="A12" s="29">
        <v>2</v>
      </c>
      <c r="B12" s="29" t="s">
        <v>163</v>
      </c>
      <c r="C12" s="29"/>
      <c r="D12" s="33"/>
      <c r="E12" s="31"/>
      <c r="F12" s="31" t="e">
        <f>F13</f>
        <v>#REF!</v>
      </c>
    </row>
    <row r="13" spans="1:6" ht="21" customHeight="1">
      <c r="A13" s="29"/>
      <c r="B13" s="29" t="s">
        <v>316</v>
      </c>
      <c r="C13" s="29" t="s">
        <v>156</v>
      </c>
      <c r="D13" s="34"/>
      <c r="E13" s="35"/>
      <c r="F13" s="31" t="e">
        <f>(7*1.18*E11+F16+F17+F18)*0.04+(21.8*E11+1.3*0.2*E11+F15+F19+F20+F21+F22+F23)*0.1</f>
        <v>#REF!</v>
      </c>
    </row>
    <row r="14" spans="1:6" ht="21" customHeight="1">
      <c r="A14" s="29">
        <v>3</v>
      </c>
      <c r="B14" s="29" t="s">
        <v>164</v>
      </c>
      <c r="C14" s="29"/>
      <c r="D14" s="34"/>
      <c r="E14" s="31"/>
      <c r="F14" s="31" t="e">
        <f>SUM(F15:F23)</f>
        <v>#REF!</v>
      </c>
    </row>
    <row r="15" spans="1:6" ht="21" customHeight="1">
      <c r="A15" s="29"/>
      <c r="B15" s="29" t="s">
        <v>802</v>
      </c>
      <c r="C15" s="29" t="s">
        <v>179</v>
      </c>
      <c r="D15" s="31">
        <f>0.98*0.2</f>
        <v>0.196</v>
      </c>
      <c r="E15" s="31">
        <f>SUM('台时-1'!C12)</f>
        <v>129.76514151173177</v>
      </c>
      <c r="F15" s="31">
        <f>D15*E15</f>
        <v>25.43396773629943</v>
      </c>
    </row>
    <row r="16" spans="1:6" ht="21" customHeight="1">
      <c r="A16" s="29"/>
      <c r="B16" s="29" t="s">
        <v>362</v>
      </c>
      <c r="C16" s="29" t="s">
        <v>179</v>
      </c>
      <c r="D16" s="31">
        <f>1.04*1.18</f>
        <v>1.2272</v>
      </c>
      <c r="E16" s="31">
        <f>SUM('台时-1'!C5)</f>
        <v>126.81077161646505</v>
      </c>
      <c r="F16" s="31">
        <f aca="true" t="shared" si="0" ref="F16:F22">D16*E16</f>
        <v>155.6221789277259</v>
      </c>
    </row>
    <row r="17" spans="1:6" ht="21" customHeight="1">
      <c r="A17" s="29"/>
      <c r="B17" s="29" t="s">
        <v>363</v>
      </c>
      <c r="C17" s="29" t="s">
        <v>179</v>
      </c>
      <c r="D17" s="31">
        <f>0.52*1.18</f>
        <v>0.6136</v>
      </c>
      <c r="E17" s="31">
        <f>SUM('台时-1'!C9)</f>
        <v>69.50047625233417</v>
      </c>
      <c r="F17" s="31">
        <f t="shared" si="0"/>
        <v>42.645492228432246</v>
      </c>
    </row>
    <row r="18" spans="1:6" ht="21" customHeight="1">
      <c r="A18" s="29"/>
      <c r="B18" s="29" t="s">
        <v>364</v>
      </c>
      <c r="C18" s="29" t="s">
        <v>179</v>
      </c>
      <c r="D18" s="31">
        <f>(12.36+1.28*5)*1.18</f>
        <v>22.136799999999997</v>
      </c>
      <c r="E18" s="31">
        <f>SUM('台时-2'!C18)</f>
        <v>88.19229171064383</v>
      </c>
      <c r="F18" s="31">
        <f t="shared" si="0"/>
        <v>1952.29512314018</v>
      </c>
    </row>
    <row r="19" spans="1:6" ht="21" customHeight="1">
      <c r="A19" s="29"/>
      <c r="B19" s="29" t="s">
        <v>215</v>
      </c>
      <c r="C19" s="29" t="s">
        <v>179</v>
      </c>
      <c r="D19" s="31">
        <v>2.06</v>
      </c>
      <c r="E19" s="31">
        <f>SUM('台时-1'!C15)</f>
        <v>71.51318998132663</v>
      </c>
      <c r="F19" s="31">
        <f t="shared" si="0"/>
        <v>147.31717136153287</v>
      </c>
    </row>
    <row r="20" spans="1:6" ht="21" customHeight="1">
      <c r="A20" s="29"/>
      <c r="B20" s="29" t="s">
        <v>803</v>
      </c>
      <c r="C20" s="29" t="s">
        <v>179</v>
      </c>
      <c r="D20" s="31">
        <v>0.55</v>
      </c>
      <c r="E20" s="31">
        <f>SUM('台时-1'!C10)</f>
        <v>92.68676479662255</v>
      </c>
      <c r="F20" s="31">
        <f t="shared" si="0"/>
        <v>50.97772063814241</v>
      </c>
    </row>
    <row r="21" spans="1:6" ht="21" customHeight="1">
      <c r="A21" s="29"/>
      <c r="B21" s="29" t="s">
        <v>217</v>
      </c>
      <c r="C21" s="29" t="s">
        <v>179</v>
      </c>
      <c r="D21" s="31">
        <v>1.09</v>
      </c>
      <c r="E21" s="31" t="e">
        <f>SUM('台时-1'!C17)</f>
        <v>#REF!</v>
      </c>
      <c r="F21" s="31" t="e">
        <f t="shared" si="0"/>
        <v>#REF!</v>
      </c>
    </row>
    <row r="22" spans="1:6" ht="21" customHeight="1">
      <c r="A22" s="29"/>
      <c r="B22" s="29" t="s">
        <v>216</v>
      </c>
      <c r="C22" s="29" t="s">
        <v>179</v>
      </c>
      <c r="D22" s="31">
        <v>0.55</v>
      </c>
      <c r="E22" s="31">
        <f>SUM('台时-4'!C18)</f>
        <v>54.38068896646911</v>
      </c>
      <c r="F22" s="31">
        <f t="shared" si="0"/>
        <v>29.909378931558013</v>
      </c>
    </row>
    <row r="23" spans="1:6" ht="21" customHeight="1">
      <c r="A23" s="29"/>
      <c r="B23" s="29" t="s">
        <v>310</v>
      </c>
      <c r="C23" s="29" t="s">
        <v>156</v>
      </c>
      <c r="D23" s="31">
        <v>1</v>
      </c>
      <c r="E23" s="31"/>
      <c r="F23" s="31" t="e">
        <f>SUM(F19:F22)*D23/100</f>
        <v>#REF!</v>
      </c>
    </row>
    <row r="24" spans="1:6" ht="21" customHeight="1">
      <c r="A24" s="29" t="s">
        <v>57</v>
      </c>
      <c r="B24" s="29" t="s">
        <v>165</v>
      </c>
      <c r="C24" s="29" t="s">
        <v>156</v>
      </c>
      <c r="D24" s="29">
        <v>7.6</v>
      </c>
      <c r="E24" s="29"/>
      <c r="F24" s="31" t="e">
        <f>F9*D24/100</f>
        <v>#REF!</v>
      </c>
    </row>
    <row r="25" spans="1:6" ht="21" customHeight="1">
      <c r="A25" s="29" t="s">
        <v>13</v>
      </c>
      <c r="B25" s="29" t="s">
        <v>166</v>
      </c>
      <c r="C25" s="29" t="s">
        <v>156</v>
      </c>
      <c r="D25" s="29">
        <v>5</v>
      </c>
      <c r="E25" s="29"/>
      <c r="F25" s="31" t="e">
        <f>F8*D25/100</f>
        <v>#REF!</v>
      </c>
    </row>
    <row r="26" spans="1:6" ht="21" customHeight="1">
      <c r="A26" s="29" t="s">
        <v>21</v>
      </c>
      <c r="B26" s="29" t="s">
        <v>296</v>
      </c>
      <c r="C26" s="29" t="s">
        <v>156</v>
      </c>
      <c r="D26" s="29">
        <v>7</v>
      </c>
      <c r="E26" s="29"/>
      <c r="F26" s="31" t="e">
        <f>(F8+F25)*D26/100</f>
        <v>#REF!</v>
      </c>
    </row>
    <row r="27" spans="1:6" ht="21" customHeight="1">
      <c r="A27" s="29" t="s">
        <v>60</v>
      </c>
      <c r="B27" s="29" t="s">
        <v>297</v>
      </c>
      <c r="C27" s="29"/>
      <c r="D27" s="29"/>
      <c r="E27" s="29"/>
      <c r="F27" s="31" t="e">
        <f>D15*'台时-1'!J12/1000*(#REF!-2990)+D16*'台时-1'!J5/1000*(#REF!-2990)+D17*'台时-1'!J9/1000*(#REF!-2990)+D18*'台时-2'!J18/1000*(#REF!-2990)+D19*'台时-1'!J15/1000*(#REF!-2990)+D20*'台时-1'!J10/1000*(#REF!-2990)+D22*'台时-4'!J18/1000*(#REF!-2990)</f>
        <v>#REF!</v>
      </c>
    </row>
    <row r="28" spans="1:6" ht="21" customHeight="1">
      <c r="A28" s="29" t="s">
        <v>62</v>
      </c>
      <c r="B28" s="29" t="s">
        <v>167</v>
      </c>
      <c r="C28" s="29" t="s">
        <v>156</v>
      </c>
      <c r="D28" s="29">
        <v>11</v>
      </c>
      <c r="E28" s="29"/>
      <c r="F28" s="31" t="e">
        <f>(F8+F25+F26+F27)*D28/100</f>
        <v>#REF!</v>
      </c>
    </row>
    <row r="29" spans="1:6" ht="21" customHeight="1">
      <c r="A29" s="29"/>
      <c r="B29" s="31" t="s">
        <v>276</v>
      </c>
      <c r="C29" s="29"/>
      <c r="D29" s="29"/>
      <c r="E29" s="29"/>
      <c r="F29" s="31" t="e">
        <f>F8+F25+F26+F27+F28</f>
        <v>#REF!</v>
      </c>
    </row>
    <row r="30" spans="1:6" ht="21" customHeight="1" hidden="1">
      <c r="A30" s="29"/>
      <c r="B30" s="31" t="s">
        <v>275</v>
      </c>
      <c r="C30" s="29"/>
      <c r="D30" s="29"/>
      <c r="E30" s="29"/>
      <c r="F30" s="31" t="e">
        <f>F29/100</f>
        <v>#REF!</v>
      </c>
    </row>
    <row r="31" spans="1:6" ht="21" customHeight="1">
      <c r="A31" s="39"/>
      <c r="B31" s="40"/>
      <c r="C31" s="40"/>
      <c r="D31" s="40"/>
      <c r="E31" s="40"/>
      <c r="F31" s="4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5">
    <mergeCell ref="A1:F1"/>
    <mergeCell ref="B2:D2"/>
    <mergeCell ref="I2:K2"/>
    <mergeCell ref="B3:D3"/>
    <mergeCell ref="A4:F6"/>
  </mergeCells>
  <printOptions/>
  <pageMargins left="0.75" right="0.75" top="1" bottom="1" header="0.5" footer="0.5"/>
  <pageSetup horizontalDpi="600" verticalDpi="600" orientation="portrait" paperSize="9"/>
  <headerFooter alignWithMargins="0">
    <oddFooter>&amp;C-29-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5"/>
  </sheetPr>
  <dimension ref="A1:F39"/>
  <sheetViews>
    <sheetView workbookViewId="0" topLeftCell="A7">
      <selection activeCell="F15" sqref="F15"/>
    </sheetView>
  </sheetViews>
  <sheetFormatPr defaultColWidth="8.625" defaultRowHeight="14.25"/>
  <cols>
    <col min="1" max="1" width="7.25390625" style="27" customWidth="1"/>
    <col min="2" max="2" width="21.25390625" style="27" customWidth="1"/>
    <col min="3" max="3" width="9.50390625" style="27" customWidth="1"/>
    <col min="4" max="4" width="11.125" style="27" customWidth="1"/>
    <col min="5" max="5" width="10.00390625" style="27" customWidth="1"/>
    <col min="6" max="6" width="16.00390625" style="27" customWidth="1"/>
    <col min="7" max="32" width="9.00390625" style="27" bestFit="1" customWidth="1"/>
    <col min="33" max="16384" width="8.625" style="27" customWidth="1"/>
  </cols>
  <sheetData>
    <row r="1" spans="1:6" ht="20.25">
      <c r="A1" s="444" t="s">
        <v>269</v>
      </c>
      <c r="B1" s="444"/>
      <c r="C1" s="444"/>
      <c r="D1" s="444"/>
      <c r="E1" s="444"/>
      <c r="F1" s="444"/>
    </row>
    <row r="2" spans="1:6" ht="20.25">
      <c r="A2" s="28"/>
      <c r="B2" s="28"/>
      <c r="C2" s="28"/>
      <c r="D2" s="28"/>
      <c r="E2" s="28"/>
      <c r="F2" s="28"/>
    </row>
    <row r="3" spans="1:6" ht="21" customHeight="1">
      <c r="A3" s="29" t="s">
        <v>161</v>
      </c>
      <c r="B3" s="465" t="s">
        <v>182</v>
      </c>
      <c r="C3" s="465"/>
      <c r="D3" s="465"/>
      <c r="E3" s="29" t="s">
        <v>38</v>
      </c>
      <c r="F3" s="30"/>
    </row>
    <row r="4" spans="1:6" ht="21" customHeight="1">
      <c r="A4" s="29" t="s">
        <v>251</v>
      </c>
      <c r="B4" s="465" t="s">
        <v>804</v>
      </c>
      <c r="C4" s="466"/>
      <c r="D4" s="466"/>
      <c r="E4" s="29" t="s">
        <v>43</v>
      </c>
      <c r="F4" s="29" t="s">
        <v>345</v>
      </c>
    </row>
    <row r="5" spans="1:6" ht="19.5" customHeight="1">
      <c r="A5" s="465" t="s">
        <v>805</v>
      </c>
      <c r="B5" s="466"/>
      <c r="C5" s="466"/>
      <c r="D5" s="466"/>
      <c r="E5" s="466"/>
      <c r="F5" s="466"/>
    </row>
    <row r="6" spans="1:6" ht="19.5" customHeight="1">
      <c r="A6" s="466"/>
      <c r="B6" s="466"/>
      <c r="C6" s="466"/>
      <c r="D6" s="466"/>
      <c r="E6" s="466"/>
      <c r="F6" s="466"/>
    </row>
    <row r="7" spans="1:6" ht="13.5" customHeight="1">
      <c r="A7" s="466"/>
      <c r="B7" s="466"/>
      <c r="C7" s="466"/>
      <c r="D7" s="466"/>
      <c r="E7" s="466"/>
      <c r="F7" s="466"/>
    </row>
    <row r="8" spans="1:6" ht="19.5" customHeight="1">
      <c r="A8" s="29" t="s">
        <v>2</v>
      </c>
      <c r="B8" s="29" t="s">
        <v>184</v>
      </c>
      <c r="C8" s="29" t="s">
        <v>274</v>
      </c>
      <c r="D8" s="29" t="s">
        <v>44</v>
      </c>
      <c r="E8" s="29" t="s">
        <v>275</v>
      </c>
      <c r="F8" s="29" t="s">
        <v>276</v>
      </c>
    </row>
    <row r="9" spans="1:6" ht="19.5" customHeight="1">
      <c r="A9" s="29" t="s">
        <v>11</v>
      </c>
      <c r="B9" s="29" t="s">
        <v>290</v>
      </c>
      <c r="C9" s="29"/>
      <c r="D9" s="31"/>
      <c r="E9" s="31"/>
      <c r="F9" s="32" t="e">
        <f>F10+F23</f>
        <v>#REF!</v>
      </c>
    </row>
    <row r="10" spans="1:6" ht="19.5" customHeight="1">
      <c r="A10" s="29" t="s">
        <v>49</v>
      </c>
      <c r="B10" s="29" t="s">
        <v>314</v>
      </c>
      <c r="C10" s="29"/>
      <c r="D10" s="29"/>
      <c r="E10" s="31"/>
      <c r="F10" s="32" t="e">
        <f>F11+F14+F16</f>
        <v>#REF!</v>
      </c>
    </row>
    <row r="11" spans="1:6" ht="19.5" customHeight="1">
      <c r="A11" s="29">
        <v>1</v>
      </c>
      <c r="B11" s="29" t="s">
        <v>162</v>
      </c>
      <c r="C11" s="29"/>
      <c r="D11" s="29"/>
      <c r="E11" s="31"/>
      <c r="F11" s="32">
        <f>SUM(F12:F13)</f>
        <v>152.83769999999998</v>
      </c>
    </row>
    <row r="12" spans="1:6" ht="19.5" customHeight="1" hidden="1">
      <c r="A12" s="29"/>
      <c r="B12" s="29" t="s">
        <v>347</v>
      </c>
      <c r="C12" s="29" t="s">
        <v>291</v>
      </c>
      <c r="D12" s="29"/>
      <c r="E12" s="31">
        <f>'格宾石笼'!E12</f>
        <v>11.98</v>
      </c>
      <c r="F12" s="31">
        <f>D12*E12</f>
        <v>0</v>
      </c>
    </row>
    <row r="13" spans="1:6" ht="19.5" customHeight="1">
      <c r="A13" s="29"/>
      <c r="B13" s="29" t="s">
        <v>266</v>
      </c>
      <c r="C13" s="29" t="s">
        <v>291</v>
      </c>
      <c r="D13" s="33">
        <f>1.3*1.18+21.8</f>
        <v>23.334</v>
      </c>
      <c r="E13" s="31">
        <f>'初级工'!G20</f>
        <v>6.55</v>
      </c>
      <c r="F13" s="31">
        <f>D13*E13</f>
        <v>152.83769999999998</v>
      </c>
    </row>
    <row r="14" spans="1:6" ht="19.5" customHeight="1">
      <c r="A14" s="29">
        <v>2</v>
      </c>
      <c r="B14" s="29" t="s">
        <v>163</v>
      </c>
      <c r="C14" s="29"/>
      <c r="D14" s="33"/>
      <c r="E14" s="31"/>
      <c r="F14" s="31" t="e">
        <f>F15</f>
        <v>#REF!</v>
      </c>
    </row>
    <row r="15" spans="1:6" ht="19.5" customHeight="1">
      <c r="A15" s="29"/>
      <c r="B15" s="29" t="s">
        <v>316</v>
      </c>
      <c r="C15" s="29" t="s">
        <v>156</v>
      </c>
      <c r="D15" s="34">
        <v>10</v>
      </c>
      <c r="E15" s="35"/>
      <c r="F15" s="31" t="e">
        <f>(F11+F16)*D15/100</f>
        <v>#REF!</v>
      </c>
    </row>
    <row r="16" spans="1:6" ht="19.5" customHeight="1">
      <c r="A16" s="29">
        <v>3</v>
      </c>
      <c r="B16" s="29" t="s">
        <v>164</v>
      </c>
      <c r="C16" s="29"/>
      <c r="D16" s="34"/>
      <c r="E16" s="31"/>
      <c r="F16" s="31" t="e">
        <f>SUM(F17:F22)</f>
        <v>#REF!</v>
      </c>
    </row>
    <row r="17" spans="1:6" ht="19.5" customHeight="1">
      <c r="A17" s="29"/>
      <c r="B17" s="29" t="s">
        <v>356</v>
      </c>
      <c r="C17" s="29" t="s">
        <v>179</v>
      </c>
      <c r="D17" s="31">
        <f>0.89*1.18</f>
        <v>1.0502</v>
      </c>
      <c r="E17" s="31">
        <f>SUM('台时-1'!C12)</f>
        <v>129.76514151173177</v>
      </c>
      <c r="F17" s="31">
        <f>D17*E17</f>
        <v>136.2793516156207</v>
      </c>
    </row>
    <row r="18" spans="1:6" ht="19.5" customHeight="1">
      <c r="A18" s="29"/>
      <c r="B18" s="29" t="s">
        <v>352</v>
      </c>
      <c r="C18" s="29" t="s">
        <v>179</v>
      </c>
      <c r="D18" s="31">
        <v>2.06</v>
      </c>
      <c r="E18" s="31">
        <f>SUM('台时-1'!C15)</f>
        <v>71.51318998132663</v>
      </c>
      <c r="F18" s="31">
        <f>D18*E18</f>
        <v>147.31717136153287</v>
      </c>
    </row>
    <row r="19" spans="1:6" ht="19.5" customHeight="1">
      <c r="A19" s="29"/>
      <c r="B19" s="29" t="s">
        <v>353</v>
      </c>
      <c r="C19" s="29" t="s">
        <v>179</v>
      </c>
      <c r="D19" s="31">
        <v>0.55</v>
      </c>
      <c r="E19" s="31">
        <f>SUM('台时-1'!C10)</f>
        <v>92.68676479662255</v>
      </c>
      <c r="F19" s="31">
        <f>D19*E19</f>
        <v>50.97772063814241</v>
      </c>
    </row>
    <row r="20" spans="1:6" ht="19.5" customHeight="1">
      <c r="A20" s="29"/>
      <c r="B20" s="29" t="s">
        <v>217</v>
      </c>
      <c r="C20" s="29" t="s">
        <v>179</v>
      </c>
      <c r="D20" s="31">
        <v>1.09</v>
      </c>
      <c r="E20" s="31" t="e">
        <f>SUM('台时-1'!C17)</f>
        <v>#REF!</v>
      </c>
      <c r="F20" s="31" t="e">
        <f>D20*E20</f>
        <v>#REF!</v>
      </c>
    </row>
    <row r="21" spans="1:6" ht="19.5" customHeight="1">
      <c r="A21" s="29"/>
      <c r="B21" s="29" t="s">
        <v>216</v>
      </c>
      <c r="C21" s="29" t="s">
        <v>179</v>
      </c>
      <c r="D21" s="31">
        <v>0.55</v>
      </c>
      <c r="E21" s="31">
        <f>SUM('台时-4'!C18)</f>
        <v>54.38068896646911</v>
      </c>
      <c r="F21" s="31">
        <f>D21*E21</f>
        <v>29.909378931558013</v>
      </c>
    </row>
    <row r="22" spans="1:6" ht="19.5" customHeight="1">
      <c r="A22" s="29"/>
      <c r="B22" s="29" t="s">
        <v>318</v>
      </c>
      <c r="C22" s="29" t="s">
        <v>156</v>
      </c>
      <c r="D22" s="31">
        <v>1</v>
      </c>
      <c r="E22" s="31"/>
      <c r="F22" s="31" t="e">
        <f>SUM(F18:F21)*D22/100</f>
        <v>#REF!</v>
      </c>
    </row>
    <row r="23" spans="1:6" ht="19.5" customHeight="1">
      <c r="A23" s="29" t="s">
        <v>57</v>
      </c>
      <c r="B23" s="29" t="s">
        <v>165</v>
      </c>
      <c r="C23" s="29" t="s">
        <v>156</v>
      </c>
      <c r="D23" s="29">
        <v>7.6</v>
      </c>
      <c r="E23" s="29"/>
      <c r="F23" s="31" t="e">
        <f>F10*D23/100</f>
        <v>#REF!</v>
      </c>
    </row>
    <row r="24" spans="1:6" ht="19.5" customHeight="1">
      <c r="A24" s="29" t="s">
        <v>13</v>
      </c>
      <c r="B24" s="29" t="s">
        <v>166</v>
      </c>
      <c r="C24" s="29" t="s">
        <v>156</v>
      </c>
      <c r="D24" s="29">
        <v>5</v>
      </c>
      <c r="E24" s="29"/>
      <c r="F24" s="31" t="e">
        <f>F9*D24/100</f>
        <v>#REF!</v>
      </c>
    </row>
    <row r="25" spans="1:6" ht="19.5" customHeight="1">
      <c r="A25" s="29" t="s">
        <v>21</v>
      </c>
      <c r="B25" s="29" t="s">
        <v>296</v>
      </c>
      <c r="C25" s="29" t="s">
        <v>156</v>
      </c>
      <c r="D25" s="29">
        <v>7</v>
      </c>
      <c r="E25" s="29"/>
      <c r="F25" s="31" t="e">
        <f>(F9+F24)*D25/100</f>
        <v>#REF!</v>
      </c>
    </row>
    <row r="26" spans="1:6" ht="19.5" customHeight="1">
      <c r="A26" s="29" t="s">
        <v>60</v>
      </c>
      <c r="B26" s="29" t="s">
        <v>297</v>
      </c>
      <c r="C26" s="29"/>
      <c r="D26" s="29"/>
      <c r="E26" s="29"/>
      <c r="F26" s="31" t="e">
        <f>SUM(D17*'台时-1'!J12/1000*(#REF!-2990))</f>
        <v>#REF!</v>
      </c>
    </row>
    <row r="27" spans="1:6" ht="19.5" customHeight="1">
      <c r="A27" s="29" t="s">
        <v>62</v>
      </c>
      <c r="B27" s="29" t="s">
        <v>167</v>
      </c>
      <c r="C27" s="29" t="s">
        <v>156</v>
      </c>
      <c r="D27" s="29">
        <v>11</v>
      </c>
      <c r="E27" s="29"/>
      <c r="F27" s="31" t="e">
        <f>(F9+F24+F25+F26)*D27/100</f>
        <v>#REF!</v>
      </c>
    </row>
    <row r="28" spans="1:6" ht="19.5" customHeight="1" hidden="1">
      <c r="A28" s="29"/>
      <c r="B28" s="29"/>
      <c r="C28" s="29"/>
      <c r="D28" s="29"/>
      <c r="E28" s="29"/>
      <c r="F28" s="31"/>
    </row>
    <row r="29" spans="1:6" ht="19.5" customHeight="1" hidden="1">
      <c r="A29" s="29"/>
      <c r="B29" s="29"/>
      <c r="C29" s="29"/>
      <c r="D29" s="29"/>
      <c r="E29" s="29"/>
      <c r="F29" s="31"/>
    </row>
    <row r="30" spans="1:6" ht="19.5" customHeight="1" hidden="1">
      <c r="A30" s="29"/>
      <c r="B30" s="29"/>
      <c r="C30" s="29"/>
      <c r="D30" s="29"/>
      <c r="E30" s="29"/>
      <c r="F30" s="31"/>
    </row>
    <row r="31" spans="1:6" ht="19.5" customHeight="1" hidden="1">
      <c r="A31" s="29"/>
      <c r="B31" s="29"/>
      <c r="C31" s="29"/>
      <c r="D31" s="29"/>
      <c r="E31" s="29"/>
      <c r="F31" s="31"/>
    </row>
    <row r="32" spans="1:6" ht="19.5" customHeight="1">
      <c r="A32" s="29"/>
      <c r="B32" s="31" t="s">
        <v>276</v>
      </c>
      <c r="C32" s="29"/>
      <c r="D32" s="29"/>
      <c r="E32" s="29"/>
      <c r="F32" s="31" t="e">
        <f>F9+F24+F25+F26+F27</f>
        <v>#REF!</v>
      </c>
    </row>
    <row r="33" spans="1:6" ht="19.5" customHeight="1" hidden="1">
      <c r="A33" s="29"/>
      <c r="B33" s="31" t="s">
        <v>275</v>
      </c>
      <c r="C33" s="29"/>
      <c r="D33" s="29"/>
      <c r="E33" s="29"/>
      <c r="F33" s="31" t="e">
        <f>F32/100</f>
        <v>#REF!</v>
      </c>
    </row>
    <row r="34" spans="1:6" ht="19.5" customHeight="1">
      <c r="A34" s="29"/>
      <c r="B34" s="31"/>
      <c r="C34" s="29"/>
      <c r="D34" s="29"/>
      <c r="E34" s="29"/>
      <c r="F34" s="31"/>
    </row>
    <row r="35" spans="1:6" ht="19.5" customHeight="1">
      <c r="A35" s="29"/>
      <c r="B35" s="31"/>
      <c r="C35" s="29"/>
      <c r="D35" s="29"/>
      <c r="E35" s="29"/>
      <c r="F35" s="31"/>
    </row>
    <row r="36" spans="1:6" ht="19.5" customHeight="1">
      <c r="A36" s="29"/>
      <c r="B36" s="31"/>
      <c r="C36" s="29"/>
      <c r="D36" s="29"/>
      <c r="E36" s="29"/>
      <c r="F36" s="31"/>
    </row>
    <row r="37" spans="1:6" ht="19.5" customHeight="1">
      <c r="A37" s="29"/>
      <c r="B37" s="31"/>
      <c r="C37" s="29"/>
      <c r="D37" s="29"/>
      <c r="E37" s="29"/>
      <c r="F37" s="31"/>
    </row>
    <row r="38" spans="1:6" ht="19.5" customHeight="1">
      <c r="A38" s="29"/>
      <c r="B38" s="31"/>
      <c r="C38" s="29"/>
      <c r="D38" s="29"/>
      <c r="E38" s="29"/>
      <c r="F38" s="31"/>
    </row>
    <row r="39" spans="1:6" ht="19.5" customHeight="1">
      <c r="A39" s="29"/>
      <c r="B39" s="36"/>
      <c r="C39" s="36"/>
      <c r="D39" s="36"/>
      <c r="E39" s="36"/>
      <c r="F39" s="37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F1"/>
    <mergeCell ref="B3:D3"/>
    <mergeCell ref="B4:D4"/>
    <mergeCell ref="A5:F7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0">
      <selection activeCell="H20" sqref="H20"/>
    </sheetView>
  </sheetViews>
  <sheetFormatPr defaultColWidth="8.625" defaultRowHeight="14.25"/>
  <cols>
    <col min="1" max="1" width="7.375" style="0" customWidth="1"/>
    <col min="2" max="2" width="20.00390625" style="0" customWidth="1"/>
    <col min="3" max="3" width="10.25390625" style="0" customWidth="1"/>
    <col min="4" max="4" width="10.75390625" style="0" customWidth="1"/>
    <col min="5" max="5" width="1.4921875" style="0" customWidth="1"/>
    <col min="6" max="6" width="13.75390625" style="0" customWidth="1"/>
    <col min="7" max="7" width="12.125" style="0" customWidth="1"/>
    <col min="8" max="23" width="8.75390625" style="0" customWidth="1"/>
  </cols>
  <sheetData>
    <row r="1" spans="1:7" ht="42" customHeight="1">
      <c r="A1" s="428" t="s">
        <v>806</v>
      </c>
      <c r="B1" s="429"/>
      <c r="C1" s="429"/>
      <c r="D1" s="429"/>
      <c r="E1" s="429"/>
      <c r="F1" s="429"/>
      <c r="G1" s="429"/>
    </row>
    <row r="2" spans="1:7" ht="28.5" customHeight="1">
      <c r="A2" s="582" t="s">
        <v>807</v>
      </c>
      <c r="B2" s="582"/>
      <c r="E2" s="583" t="s">
        <v>808</v>
      </c>
      <c r="F2" s="583"/>
      <c r="G2" t="s">
        <v>266</v>
      </c>
    </row>
    <row r="3" spans="1:6" ht="18" customHeight="1">
      <c r="A3" s="2"/>
      <c r="B3" s="2"/>
      <c r="E3" s="3"/>
      <c r="F3" s="3"/>
    </row>
    <row r="4" spans="1:7" ht="28.5" customHeight="1">
      <c r="A4" s="4" t="s">
        <v>809</v>
      </c>
      <c r="B4" s="5" t="s">
        <v>810</v>
      </c>
      <c r="C4" s="584" t="s">
        <v>811</v>
      </c>
      <c r="D4" s="584"/>
      <c r="E4" s="584"/>
      <c r="F4" s="584"/>
      <c r="G4" s="6" t="s">
        <v>45</v>
      </c>
    </row>
    <row r="5" spans="1:7" ht="24.75" customHeight="1">
      <c r="A5" s="7">
        <v>1</v>
      </c>
      <c r="B5" s="8" t="s">
        <v>812</v>
      </c>
      <c r="C5" s="9">
        <v>190</v>
      </c>
      <c r="D5" s="579" t="s">
        <v>813</v>
      </c>
      <c r="E5" s="579"/>
      <c r="F5" s="580"/>
      <c r="G5" s="10">
        <f>C5*1*12/251*1.068</f>
        <v>9.701354581673309</v>
      </c>
    </row>
    <row r="6" spans="1:7" ht="24.75" customHeight="1">
      <c r="A6" s="7">
        <v>2</v>
      </c>
      <c r="B6" s="8" t="s">
        <v>814</v>
      </c>
      <c r="C6" s="581" t="s">
        <v>815</v>
      </c>
      <c r="D6" s="448"/>
      <c r="E6" s="448"/>
      <c r="F6" s="448"/>
      <c r="G6" s="10">
        <f>SUM(G7:G10)</f>
        <v>6.0854979008269705</v>
      </c>
    </row>
    <row r="7" spans="1:7" ht="24.75" customHeight="1">
      <c r="A7" s="7" t="s">
        <v>816</v>
      </c>
      <c r="B7" s="8" t="s">
        <v>817</v>
      </c>
      <c r="C7" s="448" t="s">
        <v>818</v>
      </c>
      <c r="D7" s="448"/>
      <c r="E7" s="448"/>
      <c r="F7" s="448"/>
      <c r="G7" s="10">
        <f>(45*12/251)*1.068</f>
        <v>2.2976892430278886</v>
      </c>
    </row>
    <row r="8" spans="1:7" ht="24.75" customHeight="1">
      <c r="A8" s="7" t="s">
        <v>819</v>
      </c>
      <c r="B8" s="8" t="s">
        <v>820</v>
      </c>
      <c r="C8" s="448" t="s">
        <v>821</v>
      </c>
      <c r="D8" s="448"/>
      <c r="E8" s="448"/>
      <c r="F8" s="448"/>
      <c r="G8" s="10">
        <f>(3.5*365*0.95/251)*1.068*0.5</f>
        <v>2.581975099601594</v>
      </c>
    </row>
    <row r="9" spans="1:7" ht="24.75" customHeight="1">
      <c r="A9" s="7" t="s">
        <v>822</v>
      </c>
      <c r="B9" s="8" t="s">
        <v>823</v>
      </c>
      <c r="C9" s="448" t="s">
        <v>824</v>
      </c>
      <c r="D9" s="448"/>
      <c r="E9" s="448"/>
      <c r="F9" s="448"/>
      <c r="G9" s="10">
        <f>(4.5+3.5)/2*0.2</f>
        <v>0.8</v>
      </c>
    </row>
    <row r="10" spans="1:7" ht="24.75" customHeight="1">
      <c r="A10" s="7" t="s">
        <v>825</v>
      </c>
      <c r="B10" s="8" t="s">
        <v>826</v>
      </c>
      <c r="C10" s="13">
        <f>G5</f>
        <v>9.701354581673309</v>
      </c>
      <c r="D10" s="579" t="s">
        <v>827</v>
      </c>
      <c r="E10" s="579"/>
      <c r="F10" s="580"/>
      <c r="G10" s="10">
        <f>C10*3*10/251*0.35</f>
        <v>0.40583355819748895</v>
      </c>
    </row>
    <row r="11" spans="1:7" ht="24.75" customHeight="1">
      <c r="A11" s="7">
        <v>3</v>
      </c>
      <c r="B11" s="8" t="s">
        <v>828</v>
      </c>
      <c r="C11" s="581" t="s">
        <v>829</v>
      </c>
      <c r="D11" s="448"/>
      <c r="E11" s="448"/>
      <c r="F11" s="448"/>
      <c r="G11" s="10">
        <f>SUM(G12:G18)</f>
        <v>4.814990007162585</v>
      </c>
    </row>
    <row r="12" spans="1:7" ht="24.75" customHeight="1">
      <c r="A12" s="7" t="s">
        <v>816</v>
      </c>
      <c r="B12" s="8" t="s">
        <v>830</v>
      </c>
      <c r="C12" s="9"/>
      <c r="D12" s="14" t="s">
        <v>831</v>
      </c>
      <c r="E12" s="15" t="s">
        <v>832</v>
      </c>
      <c r="F12" s="16">
        <v>0.07</v>
      </c>
      <c r="G12" s="10">
        <f>(G5+G6)*F12</f>
        <v>1.1050796737750197</v>
      </c>
    </row>
    <row r="13" spans="1:7" ht="24.75" customHeight="1">
      <c r="A13" s="7" t="s">
        <v>819</v>
      </c>
      <c r="B13" s="8" t="s">
        <v>833</v>
      </c>
      <c r="C13" s="9"/>
      <c r="D13" s="14" t="s">
        <v>831</v>
      </c>
      <c r="E13" s="15" t="s">
        <v>832</v>
      </c>
      <c r="F13" s="16">
        <v>0.01</v>
      </c>
      <c r="G13" s="10">
        <f>(G5+G6)*F13</f>
        <v>0.1578685248250028</v>
      </c>
    </row>
    <row r="14" spans="1:7" ht="24.75" customHeight="1">
      <c r="A14" s="7" t="s">
        <v>822</v>
      </c>
      <c r="B14" s="8" t="s">
        <v>834</v>
      </c>
      <c r="C14" s="9"/>
      <c r="D14" s="14" t="s">
        <v>831</v>
      </c>
      <c r="E14" s="15" t="s">
        <v>832</v>
      </c>
      <c r="F14" s="16">
        <v>0.15</v>
      </c>
      <c r="G14" s="10">
        <f>(G5+G6)*F14</f>
        <v>2.3680278723750416</v>
      </c>
    </row>
    <row r="15" spans="1:7" ht="24.75" customHeight="1">
      <c r="A15" s="7" t="s">
        <v>825</v>
      </c>
      <c r="B15" s="8" t="s">
        <v>835</v>
      </c>
      <c r="C15" s="9"/>
      <c r="D15" s="14" t="s">
        <v>831</v>
      </c>
      <c r="E15" s="15" t="s">
        <v>832</v>
      </c>
      <c r="F15" s="16">
        <v>0.02</v>
      </c>
      <c r="G15" s="10">
        <f>(G5+G6)*F15</f>
        <v>0.3157370496500056</v>
      </c>
    </row>
    <row r="16" spans="1:7" ht="24.75" customHeight="1">
      <c r="A16" s="7" t="s">
        <v>836</v>
      </c>
      <c r="B16" s="8" t="s">
        <v>837</v>
      </c>
      <c r="C16" s="9"/>
      <c r="D16" s="14" t="s">
        <v>831</v>
      </c>
      <c r="E16" s="15" t="s">
        <v>832</v>
      </c>
      <c r="F16" s="16">
        <v>0.015</v>
      </c>
      <c r="G16" s="10">
        <f>(G5+G6)*F16</f>
        <v>0.23680278723750417</v>
      </c>
    </row>
    <row r="17" spans="1:7" ht="24.75" customHeight="1">
      <c r="A17" s="7" t="s">
        <v>838</v>
      </c>
      <c r="B17" s="8" t="s">
        <v>839</v>
      </c>
      <c r="C17" s="9"/>
      <c r="D17" s="14" t="s">
        <v>831</v>
      </c>
      <c r="E17" s="15" t="s">
        <v>832</v>
      </c>
      <c r="F17" s="16">
        <v>0.01</v>
      </c>
      <c r="G17" s="10">
        <f>(G5+G6)*F17</f>
        <v>0.1578685248250028</v>
      </c>
    </row>
    <row r="18" spans="1:7" ht="24.75" customHeight="1">
      <c r="A18" s="7" t="s">
        <v>840</v>
      </c>
      <c r="B18" s="8" t="s">
        <v>841</v>
      </c>
      <c r="C18" s="9"/>
      <c r="D18" s="14" t="s">
        <v>831</v>
      </c>
      <c r="E18" s="15" t="s">
        <v>832</v>
      </c>
      <c r="F18" s="16">
        <v>0.03</v>
      </c>
      <c r="G18" s="10">
        <f>(G5+G6)*F18</f>
        <v>0.47360557447500834</v>
      </c>
    </row>
    <row r="19" spans="1:7" ht="24.75" customHeight="1">
      <c r="A19" s="7">
        <v>4</v>
      </c>
      <c r="B19" s="8" t="s">
        <v>842</v>
      </c>
      <c r="C19" s="448"/>
      <c r="D19" s="448"/>
      <c r="E19" s="448"/>
      <c r="F19" s="448"/>
      <c r="G19" s="10">
        <f>G5+G6+G11</f>
        <v>20.601842489662864</v>
      </c>
    </row>
    <row r="20" spans="1:7" ht="24.75" customHeight="1">
      <c r="A20" s="17">
        <v>5</v>
      </c>
      <c r="B20" s="8" t="s">
        <v>843</v>
      </c>
      <c r="C20" s="577"/>
      <c r="D20" s="577"/>
      <c r="E20" s="577"/>
      <c r="F20" s="577"/>
      <c r="G20" s="19">
        <v>6.55</v>
      </c>
    </row>
    <row r="21" spans="1:7" ht="24.75" customHeight="1">
      <c r="A21" s="20"/>
      <c r="B21" s="21"/>
      <c r="C21" s="578"/>
      <c r="D21" s="578"/>
      <c r="E21" s="578"/>
      <c r="F21" s="578"/>
      <c r="G21" s="23"/>
    </row>
    <row r="22" spans="1:7" ht="24.75" customHeight="1">
      <c r="A22" s="20"/>
      <c r="B22" s="21"/>
      <c r="C22" s="578"/>
      <c r="D22" s="578"/>
      <c r="E22" s="578"/>
      <c r="F22" s="578"/>
      <c r="G22" s="23"/>
    </row>
    <row r="23" spans="1:7" ht="24.75" customHeight="1">
      <c r="A23" s="20"/>
      <c r="B23" s="21"/>
      <c r="C23" s="578"/>
      <c r="D23" s="578"/>
      <c r="E23" s="578"/>
      <c r="F23" s="578"/>
      <c r="G23" s="23"/>
    </row>
    <row r="24" spans="1:7" ht="24.75" customHeight="1">
      <c r="A24" s="20"/>
      <c r="B24" s="21"/>
      <c r="C24" s="578"/>
      <c r="D24" s="578"/>
      <c r="E24" s="578"/>
      <c r="F24" s="578"/>
      <c r="G24" s="23"/>
    </row>
    <row r="25" spans="1:7" ht="24" customHeight="1">
      <c r="A25" s="20"/>
      <c r="B25" s="21"/>
      <c r="C25" s="578"/>
      <c r="D25" s="578"/>
      <c r="E25" s="578"/>
      <c r="F25" s="578"/>
      <c r="G25" s="23"/>
    </row>
    <row r="26" spans="1:7" ht="24.75" customHeight="1">
      <c r="A26" s="24"/>
      <c r="B26" s="25"/>
      <c r="C26" s="576"/>
      <c r="D26" s="576"/>
      <c r="E26" s="576"/>
      <c r="F26" s="576"/>
      <c r="G26" s="26"/>
    </row>
  </sheetData>
  <sheetProtection/>
  <mergeCells count="19">
    <mergeCell ref="A1:G1"/>
    <mergeCell ref="A2:B2"/>
    <mergeCell ref="E2:F2"/>
    <mergeCell ref="C4:F4"/>
    <mergeCell ref="D5:F5"/>
    <mergeCell ref="C6:F6"/>
    <mergeCell ref="C7:F7"/>
    <mergeCell ref="C8:F8"/>
    <mergeCell ref="C9:F9"/>
    <mergeCell ref="D10:F10"/>
    <mergeCell ref="C11:F11"/>
    <mergeCell ref="C19:F19"/>
    <mergeCell ref="C26:F26"/>
    <mergeCell ref="C20:F20"/>
    <mergeCell ref="C21:F21"/>
    <mergeCell ref="C22:F22"/>
    <mergeCell ref="C23:F23"/>
    <mergeCell ref="C24:F24"/>
    <mergeCell ref="C25:F25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Roman,常规"-24-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0">
      <selection activeCell="G21" sqref="G21"/>
    </sheetView>
  </sheetViews>
  <sheetFormatPr defaultColWidth="8.625" defaultRowHeight="14.25"/>
  <cols>
    <col min="1" max="1" width="7.375" style="0" customWidth="1"/>
    <col min="2" max="2" width="20.00390625" style="0" customWidth="1"/>
    <col min="3" max="3" width="10.25390625" style="0" customWidth="1"/>
    <col min="4" max="4" width="10.75390625" style="0" customWidth="1"/>
    <col min="5" max="5" width="1.4921875" style="0" customWidth="1"/>
    <col min="6" max="6" width="13.75390625" style="0" customWidth="1"/>
    <col min="7" max="7" width="12.125" style="0" customWidth="1"/>
    <col min="8" max="23" width="8.75390625" style="0" customWidth="1"/>
  </cols>
  <sheetData>
    <row r="1" spans="1:7" ht="34.5" customHeight="1">
      <c r="A1" s="428" t="s">
        <v>806</v>
      </c>
      <c r="B1" s="429"/>
      <c r="C1" s="429"/>
      <c r="D1" s="429"/>
      <c r="E1" s="429"/>
      <c r="F1" s="429"/>
      <c r="G1" s="429"/>
    </row>
    <row r="2" spans="1:7" ht="35.25" customHeight="1">
      <c r="A2" s="582" t="s">
        <v>807</v>
      </c>
      <c r="B2" s="582"/>
      <c r="E2" s="583" t="s">
        <v>808</v>
      </c>
      <c r="F2" s="583"/>
      <c r="G2" t="s">
        <v>265</v>
      </c>
    </row>
    <row r="3" spans="1:6" ht="18" customHeight="1">
      <c r="A3" s="2"/>
      <c r="B3" s="2"/>
      <c r="E3" s="3"/>
      <c r="F3" s="3"/>
    </row>
    <row r="4" spans="1:7" ht="28.5" customHeight="1">
      <c r="A4" s="4" t="s">
        <v>809</v>
      </c>
      <c r="B4" s="5" t="s">
        <v>810</v>
      </c>
      <c r="C4" s="584" t="s">
        <v>811</v>
      </c>
      <c r="D4" s="584"/>
      <c r="E4" s="584"/>
      <c r="F4" s="584"/>
      <c r="G4" s="6" t="s">
        <v>45</v>
      </c>
    </row>
    <row r="5" spans="1:7" ht="24.75" customHeight="1">
      <c r="A5" s="7">
        <v>1</v>
      </c>
      <c r="B5" s="8" t="s">
        <v>812</v>
      </c>
      <c r="C5" s="9">
        <v>280</v>
      </c>
      <c r="D5" s="579" t="s">
        <v>813</v>
      </c>
      <c r="E5" s="579"/>
      <c r="F5" s="580"/>
      <c r="G5" s="10">
        <f>C5*1*12/251*1.068</f>
        <v>14.296733067729084</v>
      </c>
    </row>
    <row r="6" spans="1:7" ht="24.75" customHeight="1">
      <c r="A6" s="7">
        <v>2</v>
      </c>
      <c r="B6" s="8" t="s">
        <v>814</v>
      </c>
      <c r="C6" s="581" t="s">
        <v>815</v>
      </c>
      <c r="D6" s="448"/>
      <c r="E6" s="448"/>
      <c r="F6" s="448"/>
      <c r="G6" s="10">
        <f>SUM(G7:G10)</f>
        <v>8.85970994904843</v>
      </c>
    </row>
    <row r="7" spans="1:7" ht="24.75" customHeight="1">
      <c r="A7" s="7" t="s">
        <v>816</v>
      </c>
      <c r="B7" s="8" t="s">
        <v>817</v>
      </c>
      <c r="C7" s="448" t="s">
        <v>818</v>
      </c>
      <c r="D7" s="448"/>
      <c r="E7" s="448"/>
      <c r="F7" s="448"/>
      <c r="G7" s="10">
        <f>45*12/251*1.068</f>
        <v>2.2976892430278886</v>
      </c>
    </row>
    <row r="8" spans="1:7" ht="24.75" customHeight="1">
      <c r="A8" s="7" t="s">
        <v>819</v>
      </c>
      <c r="B8" s="8" t="s">
        <v>820</v>
      </c>
      <c r="C8" s="448" t="s">
        <v>844</v>
      </c>
      <c r="D8" s="448"/>
      <c r="E8" s="448"/>
      <c r="F8" s="448"/>
      <c r="G8" s="10">
        <f>3.5*365*0.95/251*1.068</f>
        <v>5.163950199203188</v>
      </c>
    </row>
    <row r="9" spans="1:7" ht="24.75" customHeight="1">
      <c r="A9" s="7" t="s">
        <v>822</v>
      </c>
      <c r="B9" s="8" t="s">
        <v>823</v>
      </c>
      <c r="C9" s="448" t="s">
        <v>824</v>
      </c>
      <c r="D9" s="448"/>
      <c r="E9" s="448"/>
      <c r="F9" s="448"/>
      <c r="G9" s="10">
        <f>(4.5+3.5)/2*0.2</f>
        <v>0.8</v>
      </c>
    </row>
    <row r="10" spans="1:7" ht="24.75" customHeight="1">
      <c r="A10" s="7" t="s">
        <v>825</v>
      </c>
      <c r="B10" s="8" t="s">
        <v>826</v>
      </c>
      <c r="C10" s="13">
        <f>G5</f>
        <v>14.296733067729084</v>
      </c>
      <c r="D10" s="579" t="s">
        <v>827</v>
      </c>
      <c r="E10" s="579"/>
      <c r="F10" s="580"/>
      <c r="G10" s="10">
        <f>C10*3*10/251*0.35</f>
        <v>0.5980705068173521</v>
      </c>
    </row>
    <row r="11" spans="1:7" ht="24.75" customHeight="1">
      <c r="A11" s="7">
        <v>3</v>
      </c>
      <c r="B11" s="8" t="s">
        <v>828</v>
      </c>
      <c r="C11" s="581" t="s">
        <v>829</v>
      </c>
      <c r="D11" s="448"/>
      <c r="E11" s="448"/>
      <c r="F11" s="448"/>
      <c r="G11" s="10">
        <f>SUM(G12:G18)</f>
        <v>13.778083594982624</v>
      </c>
    </row>
    <row r="12" spans="1:7" ht="24.75" customHeight="1">
      <c r="A12" s="7" t="s">
        <v>816</v>
      </c>
      <c r="B12" s="8" t="s">
        <v>830</v>
      </c>
      <c r="C12" s="9"/>
      <c r="D12" s="14" t="s">
        <v>845</v>
      </c>
      <c r="E12" s="15" t="s">
        <v>832</v>
      </c>
      <c r="F12" s="16">
        <v>0.14</v>
      </c>
      <c r="G12" s="10">
        <f>(G5+G6)*F12</f>
        <v>3.2419020223488526</v>
      </c>
    </row>
    <row r="13" spans="1:7" ht="24.75" customHeight="1">
      <c r="A13" s="7" t="s">
        <v>819</v>
      </c>
      <c r="B13" s="8" t="s">
        <v>833</v>
      </c>
      <c r="C13" s="9"/>
      <c r="D13" s="14" t="s">
        <v>845</v>
      </c>
      <c r="E13" s="15" t="s">
        <v>832</v>
      </c>
      <c r="F13" s="16">
        <v>0.02</v>
      </c>
      <c r="G13" s="10">
        <f>(G5+G6)*F13</f>
        <v>0.46312886033555034</v>
      </c>
    </row>
    <row r="14" spans="1:7" ht="24.75" customHeight="1">
      <c r="A14" s="7" t="s">
        <v>822</v>
      </c>
      <c r="B14" s="8" t="s">
        <v>834</v>
      </c>
      <c r="C14" s="9"/>
      <c r="D14" s="14" t="s">
        <v>845</v>
      </c>
      <c r="E14" s="15" t="s">
        <v>832</v>
      </c>
      <c r="F14" s="16">
        <v>0.3</v>
      </c>
      <c r="G14" s="10">
        <f>(G5+G6)*F14</f>
        <v>6.946932905033255</v>
      </c>
    </row>
    <row r="15" spans="1:7" ht="24.75" customHeight="1">
      <c r="A15" s="7" t="s">
        <v>825</v>
      </c>
      <c r="B15" s="8" t="s">
        <v>835</v>
      </c>
      <c r="C15" s="9"/>
      <c r="D15" s="14" t="s">
        <v>845</v>
      </c>
      <c r="E15" s="15" t="s">
        <v>832</v>
      </c>
      <c r="F15" s="16">
        <v>0.04</v>
      </c>
      <c r="G15" s="10">
        <f>(G5+G6)*F15</f>
        <v>0.9262577206711007</v>
      </c>
    </row>
    <row r="16" spans="1:7" ht="24.75" customHeight="1">
      <c r="A16" s="7" t="s">
        <v>836</v>
      </c>
      <c r="B16" s="8" t="s">
        <v>837</v>
      </c>
      <c r="C16" s="9"/>
      <c r="D16" s="14" t="s">
        <v>845</v>
      </c>
      <c r="E16" s="15" t="s">
        <v>832</v>
      </c>
      <c r="F16" s="16">
        <v>0.015</v>
      </c>
      <c r="G16" s="10">
        <f>(G5+G6)*F16</f>
        <v>0.3473466452516627</v>
      </c>
    </row>
    <row r="17" spans="1:7" ht="24.75" customHeight="1">
      <c r="A17" s="7" t="s">
        <v>838</v>
      </c>
      <c r="B17" s="8" t="s">
        <v>839</v>
      </c>
      <c r="C17" s="9"/>
      <c r="D17" s="14" t="s">
        <v>845</v>
      </c>
      <c r="E17" s="15" t="s">
        <v>832</v>
      </c>
      <c r="F17" s="16">
        <v>0.02</v>
      </c>
      <c r="G17" s="10">
        <f>(G5+G6)*F17</f>
        <v>0.46312886033555034</v>
      </c>
    </row>
    <row r="18" spans="1:7" ht="24.75" customHeight="1">
      <c r="A18" s="7" t="s">
        <v>840</v>
      </c>
      <c r="B18" s="8" t="s">
        <v>841</v>
      </c>
      <c r="C18" s="9"/>
      <c r="D18" s="14" t="s">
        <v>845</v>
      </c>
      <c r="E18" s="15" t="s">
        <v>832</v>
      </c>
      <c r="F18" s="16">
        <v>0.06</v>
      </c>
      <c r="G18" s="10">
        <f>(G5+G6)*F18</f>
        <v>1.3893865810066508</v>
      </c>
    </row>
    <row r="19" spans="1:7" ht="24.75" customHeight="1">
      <c r="A19" s="7">
        <v>4</v>
      </c>
      <c r="B19" s="8" t="s">
        <v>842</v>
      </c>
      <c r="C19" s="448"/>
      <c r="D19" s="448"/>
      <c r="E19" s="448"/>
      <c r="F19" s="448"/>
      <c r="G19" s="10">
        <f>G5+G6+G11</f>
        <v>36.93452661176014</v>
      </c>
    </row>
    <row r="20" spans="1:7" ht="24.75" customHeight="1">
      <c r="A20" s="17">
        <v>5</v>
      </c>
      <c r="B20" s="8" t="s">
        <v>843</v>
      </c>
      <c r="C20" s="577"/>
      <c r="D20" s="577"/>
      <c r="E20" s="577"/>
      <c r="F20" s="577"/>
      <c r="G20" s="19">
        <v>9.33</v>
      </c>
    </row>
    <row r="21" spans="1:7" ht="24.75" customHeight="1">
      <c r="A21" s="20"/>
      <c r="B21" s="21"/>
      <c r="C21" s="578"/>
      <c r="D21" s="578"/>
      <c r="E21" s="578"/>
      <c r="F21" s="578"/>
      <c r="G21" s="23"/>
    </row>
    <row r="22" spans="1:7" ht="24.75" customHeight="1">
      <c r="A22" s="20"/>
      <c r="B22" s="21"/>
      <c r="C22" s="578"/>
      <c r="D22" s="578"/>
      <c r="E22" s="578"/>
      <c r="F22" s="578"/>
      <c r="G22" s="23"/>
    </row>
    <row r="23" spans="1:7" ht="24.75" customHeight="1">
      <c r="A23" s="20"/>
      <c r="B23" s="21"/>
      <c r="C23" s="578"/>
      <c r="D23" s="578"/>
      <c r="E23" s="578"/>
      <c r="F23" s="578"/>
      <c r="G23" s="23"/>
    </row>
    <row r="24" spans="1:7" ht="24.75" customHeight="1">
      <c r="A24" s="20"/>
      <c r="B24" s="21"/>
      <c r="C24" s="578"/>
      <c r="D24" s="578"/>
      <c r="E24" s="578"/>
      <c r="F24" s="578"/>
      <c r="G24" s="23"/>
    </row>
    <row r="25" spans="1:7" ht="24" customHeight="1">
      <c r="A25" s="20"/>
      <c r="B25" s="21"/>
      <c r="C25" s="578"/>
      <c r="D25" s="578"/>
      <c r="E25" s="578"/>
      <c r="F25" s="578"/>
      <c r="G25" s="23"/>
    </row>
    <row r="26" spans="1:7" ht="24.75" customHeight="1">
      <c r="A26" s="24"/>
      <c r="B26" s="25"/>
      <c r="C26" s="576"/>
      <c r="D26" s="576"/>
      <c r="E26" s="576"/>
      <c r="F26" s="576"/>
      <c r="G26" s="26"/>
    </row>
  </sheetData>
  <sheetProtection/>
  <mergeCells count="19">
    <mergeCell ref="A1:G1"/>
    <mergeCell ref="A2:B2"/>
    <mergeCell ref="E2:F2"/>
    <mergeCell ref="C4:F4"/>
    <mergeCell ref="D5:F5"/>
    <mergeCell ref="C6:F6"/>
    <mergeCell ref="C7:F7"/>
    <mergeCell ref="C8:F8"/>
    <mergeCell ref="C9:F9"/>
    <mergeCell ref="D10:F10"/>
    <mergeCell ref="C11:F11"/>
    <mergeCell ref="C19:F19"/>
    <mergeCell ref="C26:F26"/>
    <mergeCell ref="C20:F20"/>
    <mergeCell ref="C21:F21"/>
    <mergeCell ref="C22:F22"/>
    <mergeCell ref="C23:F23"/>
    <mergeCell ref="C24:F24"/>
    <mergeCell ref="C25:F25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Roman,常规"-25-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7">
      <selection activeCell="G21" sqref="G21"/>
    </sheetView>
  </sheetViews>
  <sheetFormatPr defaultColWidth="8.625" defaultRowHeight="14.25"/>
  <cols>
    <col min="1" max="1" width="7.375" style="0" customWidth="1"/>
    <col min="2" max="2" width="20.00390625" style="0" customWidth="1"/>
    <col min="3" max="3" width="10.25390625" style="0" customWidth="1"/>
    <col min="4" max="4" width="10.75390625" style="0" customWidth="1"/>
    <col min="5" max="5" width="1.4921875" style="0" customWidth="1"/>
    <col min="6" max="6" width="13.75390625" style="0" customWidth="1"/>
    <col min="7" max="7" width="12.125" style="0" customWidth="1"/>
    <col min="8" max="25" width="8.75390625" style="0" customWidth="1"/>
  </cols>
  <sheetData>
    <row r="1" spans="1:7" ht="34.5" customHeight="1">
      <c r="A1" s="428" t="s">
        <v>806</v>
      </c>
      <c r="B1" s="429"/>
      <c r="C1" s="429"/>
      <c r="D1" s="429"/>
      <c r="E1" s="429"/>
      <c r="F1" s="429"/>
      <c r="G1" s="429"/>
    </row>
    <row r="2" spans="1:7" ht="21.75" customHeight="1">
      <c r="A2" s="582" t="s">
        <v>807</v>
      </c>
      <c r="B2" s="582"/>
      <c r="E2" s="583" t="s">
        <v>808</v>
      </c>
      <c r="F2" s="583"/>
      <c r="G2" t="s">
        <v>264</v>
      </c>
    </row>
    <row r="3" spans="1:6" ht="18" customHeight="1">
      <c r="A3" s="2"/>
      <c r="B3" s="2"/>
      <c r="E3" s="3"/>
      <c r="F3" s="3"/>
    </row>
    <row r="4" spans="1:7" ht="28.5" customHeight="1">
      <c r="A4" s="4" t="s">
        <v>809</v>
      </c>
      <c r="B4" s="5" t="s">
        <v>810</v>
      </c>
      <c r="C4" s="584" t="s">
        <v>811</v>
      </c>
      <c r="D4" s="584"/>
      <c r="E4" s="584"/>
      <c r="F4" s="584"/>
      <c r="G4" s="6" t="s">
        <v>45</v>
      </c>
    </row>
    <row r="5" spans="1:7" ht="24.75" customHeight="1">
      <c r="A5" s="7">
        <v>1</v>
      </c>
      <c r="B5" s="8" t="s">
        <v>812</v>
      </c>
      <c r="C5" s="9">
        <v>350</v>
      </c>
      <c r="D5" s="579" t="s">
        <v>813</v>
      </c>
      <c r="E5" s="579"/>
      <c r="F5" s="580"/>
      <c r="G5" s="10">
        <f>C5*1*12/251*1.068</f>
        <v>17.870916334661356</v>
      </c>
    </row>
    <row r="6" spans="1:7" ht="24.75" customHeight="1">
      <c r="A6" s="7">
        <v>2</v>
      </c>
      <c r="B6" s="8" t="s">
        <v>814</v>
      </c>
      <c r="C6" s="581" t="s">
        <v>815</v>
      </c>
      <c r="D6" s="448"/>
      <c r="E6" s="448"/>
      <c r="F6" s="448"/>
      <c r="G6" s="10">
        <f>SUM(G7:G10)</f>
        <v>9.009227575752767</v>
      </c>
    </row>
    <row r="7" spans="1:7" ht="24.75" customHeight="1">
      <c r="A7" s="7" t="s">
        <v>816</v>
      </c>
      <c r="B7" s="8" t="s">
        <v>817</v>
      </c>
      <c r="C7" s="448" t="s">
        <v>818</v>
      </c>
      <c r="D7" s="448"/>
      <c r="E7" s="448"/>
      <c r="F7" s="448"/>
      <c r="G7" s="10">
        <f>45*12/251*1.068</f>
        <v>2.2976892430278886</v>
      </c>
    </row>
    <row r="8" spans="1:7" ht="24.75" customHeight="1">
      <c r="A8" s="7" t="s">
        <v>819</v>
      </c>
      <c r="B8" s="8" t="s">
        <v>820</v>
      </c>
      <c r="C8" s="448" t="s">
        <v>844</v>
      </c>
      <c r="D8" s="448"/>
      <c r="E8" s="448"/>
      <c r="F8" s="448"/>
      <c r="G8" s="10">
        <f>3.5*365*0.95/251*1.068</f>
        <v>5.163950199203188</v>
      </c>
    </row>
    <row r="9" spans="1:7" ht="24.75" customHeight="1">
      <c r="A9" s="7" t="s">
        <v>822</v>
      </c>
      <c r="B9" s="8" t="s">
        <v>823</v>
      </c>
      <c r="C9" s="448" t="s">
        <v>824</v>
      </c>
      <c r="D9" s="448"/>
      <c r="E9" s="448"/>
      <c r="F9" s="448"/>
      <c r="G9" s="10">
        <f>(4.5+3.5)/2*0.2</f>
        <v>0.8</v>
      </c>
    </row>
    <row r="10" spans="1:7" ht="24.75" customHeight="1">
      <c r="A10" s="7" t="s">
        <v>825</v>
      </c>
      <c r="B10" s="8" t="s">
        <v>826</v>
      </c>
      <c r="C10" s="13">
        <f>G5</f>
        <v>17.870916334661356</v>
      </c>
      <c r="D10" s="579" t="s">
        <v>827</v>
      </c>
      <c r="E10" s="579"/>
      <c r="F10" s="580"/>
      <c r="G10" s="10">
        <f>C10*3*10/251*0.35</f>
        <v>0.7475881335216901</v>
      </c>
    </row>
    <row r="11" spans="1:7" ht="24.75" customHeight="1">
      <c r="A11" s="7">
        <v>3</v>
      </c>
      <c r="B11" s="8" t="s">
        <v>828</v>
      </c>
      <c r="C11" s="581" t="s">
        <v>829</v>
      </c>
      <c r="D11" s="448"/>
      <c r="E11" s="448"/>
      <c r="F11" s="448"/>
      <c r="G11" s="10">
        <f>SUM(G12:G18)</f>
        <v>15.993685626696404</v>
      </c>
    </row>
    <row r="12" spans="1:7" ht="24.75" customHeight="1">
      <c r="A12" s="7" t="s">
        <v>816</v>
      </c>
      <c r="B12" s="8" t="s">
        <v>830</v>
      </c>
      <c r="C12" s="9"/>
      <c r="D12" s="14" t="s">
        <v>846</v>
      </c>
      <c r="E12" s="15" t="s">
        <v>832</v>
      </c>
      <c r="F12" s="16">
        <v>0.14</v>
      </c>
      <c r="G12" s="10">
        <f>(G5+G6)*F12</f>
        <v>3.7632201474579774</v>
      </c>
    </row>
    <row r="13" spans="1:7" ht="24.75" customHeight="1">
      <c r="A13" s="7" t="s">
        <v>819</v>
      </c>
      <c r="B13" s="8" t="s">
        <v>833</v>
      </c>
      <c r="C13" s="9"/>
      <c r="D13" s="14" t="s">
        <v>846</v>
      </c>
      <c r="E13" s="15" t="s">
        <v>832</v>
      </c>
      <c r="F13" s="16">
        <v>0.02</v>
      </c>
      <c r="G13" s="10">
        <f>(G5+G6)*F13</f>
        <v>0.5376028782082825</v>
      </c>
    </row>
    <row r="14" spans="1:7" ht="24.75" customHeight="1">
      <c r="A14" s="7" t="s">
        <v>822</v>
      </c>
      <c r="B14" s="8" t="s">
        <v>834</v>
      </c>
      <c r="C14" s="9"/>
      <c r="D14" s="14" t="s">
        <v>846</v>
      </c>
      <c r="E14" s="15" t="s">
        <v>832</v>
      </c>
      <c r="F14" s="16">
        <v>0.3</v>
      </c>
      <c r="G14" s="10">
        <f>(G5+G6)*F14</f>
        <v>8.064043173124237</v>
      </c>
    </row>
    <row r="15" spans="1:7" ht="24.75" customHeight="1">
      <c r="A15" s="7" t="s">
        <v>825</v>
      </c>
      <c r="B15" s="8" t="s">
        <v>835</v>
      </c>
      <c r="C15" s="9"/>
      <c r="D15" s="14" t="s">
        <v>846</v>
      </c>
      <c r="E15" s="15" t="s">
        <v>832</v>
      </c>
      <c r="F15" s="16">
        <v>0.04</v>
      </c>
      <c r="G15" s="10">
        <f>(G5+G6)*F15</f>
        <v>1.075205756416565</v>
      </c>
    </row>
    <row r="16" spans="1:7" ht="24.75" customHeight="1">
      <c r="A16" s="7" t="s">
        <v>836</v>
      </c>
      <c r="B16" s="8" t="s">
        <v>837</v>
      </c>
      <c r="C16" s="9"/>
      <c r="D16" s="14" t="s">
        <v>846</v>
      </c>
      <c r="E16" s="15" t="s">
        <v>832</v>
      </c>
      <c r="F16" s="16">
        <v>0.015</v>
      </c>
      <c r="G16" s="10">
        <f>(G5+G6)*F16</f>
        <v>0.40320215865621184</v>
      </c>
    </row>
    <row r="17" spans="1:7" ht="24.75" customHeight="1">
      <c r="A17" s="7" t="s">
        <v>838</v>
      </c>
      <c r="B17" s="8" t="s">
        <v>839</v>
      </c>
      <c r="C17" s="9"/>
      <c r="D17" s="14" t="s">
        <v>846</v>
      </c>
      <c r="E17" s="15" t="s">
        <v>832</v>
      </c>
      <c r="F17" s="16">
        <v>0.02</v>
      </c>
      <c r="G17" s="10">
        <f>(G5+G6)*F17</f>
        <v>0.5376028782082825</v>
      </c>
    </row>
    <row r="18" spans="1:7" ht="24.75" customHeight="1">
      <c r="A18" s="7" t="s">
        <v>840</v>
      </c>
      <c r="B18" s="8" t="s">
        <v>841</v>
      </c>
      <c r="C18" s="9"/>
      <c r="D18" s="14" t="s">
        <v>846</v>
      </c>
      <c r="E18" s="15" t="s">
        <v>832</v>
      </c>
      <c r="F18" s="16">
        <v>0.06</v>
      </c>
      <c r="G18" s="10">
        <f>(G5+G6)*F18</f>
        <v>1.6128086346248474</v>
      </c>
    </row>
    <row r="19" spans="1:7" ht="24.75" customHeight="1">
      <c r="A19" s="7">
        <v>4</v>
      </c>
      <c r="B19" s="8" t="s">
        <v>842</v>
      </c>
      <c r="C19" s="448"/>
      <c r="D19" s="448"/>
      <c r="E19" s="448"/>
      <c r="F19" s="448"/>
      <c r="G19" s="10">
        <f>G5+G6+G11</f>
        <v>42.873829537110524</v>
      </c>
    </row>
    <row r="20" spans="1:7" ht="24.75" customHeight="1">
      <c r="A20" s="17">
        <v>5</v>
      </c>
      <c r="B20" s="8" t="s">
        <v>843</v>
      </c>
      <c r="C20" s="577"/>
      <c r="D20" s="577"/>
      <c r="E20" s="577"/>
      <c r="F20" s="577"/>
      <c r="G20" s="19">
        <v>11.09</v>
      </c>
    </row>
    <row r="21" spans="1:7" ht="24.75" customHeight="1">
      <c r="A21" s="20"/>
      <c r="B21" s="21"/>
      <c r="C21" s="578"/>
      <c r="D21" s="578"/>
      <c r="E21" s="578"/>
      <c r="F21" s="578"/>
      <c r="G21" s="23"/>
    </row>
    <row r="22" spans="1:7" ht="24.75" customHeight="1">
      <c r="A22" s="20"/>
      <c r="B22" s="21"/>
      <c r="C22" s="578"/>
      <c r="D22" s="578"/>
      <c r="E22" s="578"/>
      <c r="F22" s="578"/>
      <c r="G22" s="23"/>
    </row>
    <row r="23" spans="1:7" ht="24.75" customHeight="1">
      <c r="A23" s="20"/>
      <c r="B23" s="21"/>
      <c r="C23" s="578"/>
      <c r="D23" s="578"/>
      <c r="E23" s="578"/>
      <c r="F23" s="578"/>
      <c r="G23" s="23"/>
    </row>
    <row r="24" spans="1:7" ht="24.75" customHeight="1">
      <c r="A24" s="20"/>
      <c r="B24" s="21"/>
      <c r="C24" s="578"/>
      <c r="D24" s="578"/>
      <c r="E24" s="578"/>
      <c r="F24" s="578"/>
      <c r="G24" s="23"/>
    </row>
    <row r="25" spans="1:7" ht="24" customHeight="1">
      <c r="A25" s="20"/>
      <c r="B25" s="21"/>
      <c r="C25" s="578"/>
      <c r="D25" s="578"/>
      <c r="E25" s="578"/>
      <c r="F25" s="578"/>
      <c r="G25" s="23"/>
    </row>
    <row r="26" spans="1:7" ht="24.75" customHeight="1">
      <c r="A26" s="24"/>
      <c r="B26" s="25"/>
      <c r="C26" s="576"/>
      <c r="D26" s="576"/>
      <c r="E26" s="576"/>
      <c r="F26" s="576"/>
      <c r="G26" s="26"/>
    </row>
  </sheetData>
  <sheetProtection/>
  <mergeCells count="19">
    <mergeCell ref="A1:G1"/>
    <mergeCell ref="A2:B2"/>
    <mergeCell ref="E2:F2"/>
    <mergeCell ref="C4:F4"/>
    <mergeCell ref="D5:F5"/>
    <mergeCell ref="C6:F6"/>
    <mergeCell ref="C7:F7"/>
    <mergeCell ref="C8:F8"/>
    <mergeCell ref="C9:F9"/>
    <mergeCell ref="D10:F10"/>
    <mergeCell ref="C11:F11"/>
    <mergeCell ref="C19:F19"/>
    <mergeCell ref="C26:F26"/>
    <mergeCell ref="C20:F20"/>
    <mergeCell ref="C21:F21"/>
    <mergeCell ref="C22:F22"/>
    <mergeCell ref="C23:F23"/>
    <mergeCell ref="C24:F24"/>
    <mergeCell ref="C25:F25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Roman,常规"-26-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3">
      <selection activeCell="G21" sqref="G21"/>
    </sheetView>
  </sheetViews>
  <sheetFormatPr defaultColWidth="8.625" defaultRowHeight="14.25"/>
  <cols>
    <col min="1" max="1" width="7.375" style="0" customWidth="1"/>
    <col min="2" max="2" width="20.00390625" style="0" customWidth="1"/>
    <col min="3" max="3" width="10.25390625" style="0" customWidth="1"/>
    <col min="4" max="4" width="10.75390625" style="0" customWidth="1"/>
    <col min="5" max="5" width="1.4921875" style="0" customWidth="1"/>
    <col min="6" max="6" width="13.75390625" style="0" customWidth="1"/>
    <col min="7" max="7" width="12.125" style="0" customWidth="1"/>
    <col min="8" max="26" width="8.75390625" style="0" customWidth="1"/>
  </cols>
  <sheetData>
    <row r="1" spans="1:7" ht="34.5" customHeight="1">
      <c r="A1" s="428" t="s">
        <v>806</v>
      </c>
      <c r="B1" s="429"/>
      <c r="C1" s="429"/>
      <c r="D1" s="429"/>
      <c r="E1" s="429"/>
      <c r="F1" s="429"/>
      <c r="G1" s="429"/>
    </row>
    <row r="2" spans="1:7" ht="35.25" customHeight="1">
      <c r="A2" s="582" t="s">
        <v>807</v>
      </c>
      <c r="B2" s="582"/>
      <c r="E2" s="583" t="s">
        <v>808</v>
      </c>
      <c r="F2" s="583"/>
      <c r="G2" t="s">
        <v>262</v>
      </c>
    </row>
    <row r="3" spans="1:6" ht="18" customHeight="1">
      <c r="A3" s="2"/>
      <c r="B3" s="2"/>
      <c r="E3" s="3"/>
      <c r="F3" s="3"/>
    </row>
    <row r="4" spans="1:7" ht="28.5" customHeight="1">
      <c r="A4" s="4" t="s">
        <v>809</v>
      </c>
      <c r="B4" s="5" t="s">
        <v>810</v>
      </c>
      <c r="C4" s="584" t="s">
        <v>811</v>
      </c>
      <c r="D4" s="584"/>
      <c r="E4" s="584"/>
      <c r="F4" s="584"/>
      <c r="G4" s="6" t="s">
        <v>45</v>
      </c>
    </row>
    <row r="5" spans="1:7" ht="24.75" customHeight="1">
      <c r="A5" s="7">
        <v>1</v>
      </c>
      <c r="B5" s="8" t="s">
        <v>812</v>
      </c>
      <c r="C5" s="9">
        <v>385</v>
      </c>
      <c r="D5" s="579" t="s">
        <v>813</v>
      </c>
      <c r="E5" s="579"/>
      <c r="F5" s="580"/>
      <c r="G5" s="10">
        <f>C5*1*12/251*1.068</f>
        <v>19.658007968127492</v>
      </c>
    </row>
    <row r="6" spans="1:7" ht="24.75" customHeight="1">
      <c r="A6" s="7">
        <v>2</v>
      </c>
      <c r="B6" s="8" t="s">
        <v>814</v>
      </c>
      <c r="C6" s="581" t="s">
        <v>815</v>
      </c>
      <c r="D6" s="448"/>
      <c r="E6" s="448"/>
      <c r="F6" s="448"/>
      <c r="G6" s="10">
        <f>SUM(G7:G10)</f>
        <v>9.083986389104936</v>
      </c>
    </row>
    <row r="7" spans="1:7" ht="24.75" customHeight="1">
      <c r="A7" s="7" t="s">
        <v>816</v>
      </c>
      <c r="B7" s="8" t="s">
        <v>817</v>
      </c>
      <c r="C7" s="448" t="s">
        <v>818</v>
      </c>
      <c r="D7" s="448"/>
      <c r="E7" s="448"/>
      <c r="F7" s="448"/>
      <c r="G7" s="10">
        <f>45*12/251*1.068</f>
        <v>2.2976892430278886</v>
      </c>
    </row>
    <row r="8" spans="1:7" ht="24.75" customHeight="1">
      <c r="A8" s="7" t="s">
        <v>819</v>
      </c>
      <c r="B8" s="8" t="s">
        <v>820</v>
      </c>
      <c r="C8" s="448" t="s">
        <v>844</v>
      </c>
      <c r="D8" s="448"/>
      <c r="E8" s="448"/>
      <c r="F8" s="448"/>
      <c r="G8" s="10">
        <f>3.5*365*0.95/251*1.068</f>
        <v>5.163950199203188</v>
      </c>
    </row>
    <row r="9" spans="1:7" ht="24.75" customHeight="1">
      <c r="A9" s="7" t="s">
        <v>822</v>
      </c>
      <c r="B9" s="8" t="s">
        <v>823</v>
      </c>
      <c r="C9" s="448" t="s">
        <v>824</v>
      </c>
      <c r="D9" s="448"/>
      <c r="E9" s="448"/>
      <c r="F9" s="448"/>
      <c r="G9" s="10">
        <f>(4.5+3.5)/2*0.2</f>
        <v>0.8</v>
      </c>
    </row>
    <row r="10" spans="1:7" ht="24.75" customHeight="1">
      <c r="A10" s="7" t="s">
        <v>825</v>
      </c>
      <c r="B10" s="8" t="s">
        <v>826</v>
      </c>
      <c r="C10" s="13">
        <f>G5</f>
        <v>19.658007968127492</v>
      </c>
      <c r="D10" s="579" t="s">
        <v>827</v>
      </c>
      <c r="E10" s="579"/>
      <c r="F10" s="580"/>
      <c r="G10" s="10">
        <f>C10*3*10/251*0.35</f>
        <v>0.8223469468738591</v>
      </c>
    </row>
    <row r="11" spans="1:7" ht="24.75" customHeight="1">
      <c r="A11" s="7">
        <v>3</v>
      </c>
      <c r="B11" s="8" t="s">
        <v>828</v>
      </c>
      <c r="C11" s="581" t="s">
        <v>829</v>
      </c>
      <c r="D11" s="448"/>
      <c r="E11" s="448"/>
      <c r="F11" s="448"/>
      <c r="G11" s="10">
        <f>SUM(G12:G18)</f>
        <v>17.101486642553294</v>
      </c>
    </row>
    <row r="12" spans="1:7" ht="24.75" customHeight="1">
      <c r="A12" s="7" t="s">
        <v>816</v>
      </c>
      <c r="B12" s="8" t="s">
        <v>830</v>
      </c>
      <c r="C12" s="9"/>
      <c r="D12" s="14" t="s">
        <v>847</v>
      </c>
      <c r="E12" s="15" t="s">
        <v>832</v>
      </c>
      <c r="F12" s="16">
        <v>0.14</v>
      </c>
      <c r="G12" s="10">
        <f>(G5+G6)*F12</f>
        <v>4.023879210012541</v>
      </c>
    </row>
    <row r="13" spans="1:7" ht="24.75" customHeight="1">
      <c r="A13" s="7" t="s">
        <v>819</v>
      </c>
      <c r="B13" s="8" t="s">
        <v>833</v>
      </c>
      <c r="C13" s="9"/>
      <c r="D13" s="14" t="s">
        <v>847</v>
      </c>
      <c r="E13" s="15" t="s">
        <v>832</v>
      </c>
      <c r="F13" s="16">
        <v>0.02</v>
      </c>
      <c r="G13" s="10">
        <f>(G5+G6)*F13</f>
        <v>0.5748398871446486</v>
      </c>
    </row>
    <row r="14" spans="1:7" ht="24.75" customHeight="1">
      <c r="A14" s="7" t="s">
        <v>822</v>
      </c>
      <c r="B14" s="8" t="s">
        <v>834</v>
      </c>
      <c r="C14" s="9"/>
      <c r="D14" s="14" t="s">
        <v>847</v>
      </c>
      <c r="E14" s="15" t="s">
        <v>832</v>
      </c>
      <c r="F14" s="16">
        <v>0.3</v>
      </c>
      <c r="G14" s="10">
        <f>(G5+G6)*F14</f>
        <v>8.622598307169728</v>
      </c>
    </row>
    <row r="15" spans="1:7" ht="24.75" customHeight="1">
      <c r="A15" s="7" t="s">
        <v>825</v>
      </c>
      <c r="B15" s="8" t="s">
        <v>835</v>
      </c>
      <c r="C15" s="9"/>
      <c r="D15" s="14" t="s">
        <v>847</v>
      </c>
      <c r="E15" s="15" t="s">
        <v>832</v>
      </c>
      <c r="F15" s="16">
        <v>0.04</v>
      </c>
      <c r="G15" s="10">
        <f>(G5+G6)*F15</f>
        <v>1.1496797742892972</v>
      </c>
    </row>
    <row r="16" spans="1:7" ht="24.75" customHeight="1">
      <c r="A16" s="7" t="s">
        <v>836</v>
      </c>
      <c r="B16" s="8" t="s">
        <v>837</v>
      </c>
      <c r="C16" s="9"/>
      <c r="D16" s="14" t="s">
        <v>847</v>
      </c>
      <c r="E16" s="15" t="s">
        <v>832</v>
      </c>
      <c r="F16" s="16">
        <v>0.015</v>
      </c>
      <c r="G16" s="10">
        <f>(G5+G6)*F16</f>
        <v>0.43112991535848644</v>
      </c>
    </row>
    <row r="17" spans="1:7" ht="24.75" customHeight="1">
      <c r="A17" s="7" t="s">
        <v>838</v>
      </c>
      <c r="B17" s="8" t="s">
        <v>839</v>
      </c>
      <c r="C17" s="9"/>
      <c r="D17" s="14" t="s">
        <v>847</v>
      </c>
      <c r="E17" s="15" t="s">
        <v>832</v>
      </c>
      <c r="F17" s="16">
        <v>0.02</v>
      </c>
      <c r="G17" s="10">
        <f>(G5+G6)*F17</f>
        <v>0.5748398871446486</v>
      </c>
    </row>
    <row r="18" spans="1:7" ht="24.75" customHeight="1">
      <c r="A18" s="7" t="s">
        <v>840</v>
      </c>
      <c r="B18" s="8" t="s">
        <v>841</v>
      </c>
      <c r="C18" s="9"/>
      <c r="D18" s="14" t="s">
        <v>847</v>
      </c>
      <c r="E18" s="15" t="s">
        <v>832</v>
      </c>
      <c r="F18" s="16">
        <v>0.06</v>
      </c>
      <c r="G18" s="10">
        <f>(G5+G6)*F18</f>
        <v>1.7245196614339457</v>
      </c>
    </row>
    <row r="19" spans="1:7" ht="24.75" customHeight="1">
      <c r="A19" s="7">
        <v>4</v>
      </c>
      <c r="B19" s="8" t="s">
        <v>842</v>
      </c>
      <c r="C19" s="448"/>
      <c r="D19" s="448"/>
      <c r="E19" s="448"/>
      <c r="F19" s="448"/>
      <c r="G19" s="10">
        <f>G5+G6+G11</f>
        <v>45.843480999785726</v>
      </c>
    </row>
    <row r="20" spans="1:7" ht="24.75" customHeight="1">
      <c r="A20" s="17">
        <v>5</v>
      </c>
      <c r="B20" s="8" t="s">
        <v>843</v>
      </c>
      <c r="C20" s="577"/>
      <c r="D20" s="577"/>
      <c r="E20" s="577"/>
      <c r="F20" s="577"/>
      <c r="G20" s="19">
        <v>11.98</v>
      </c>
    </row>
    <row r="21" spans="1:7" ht="24.75" customHeight="1">
      <c r="A21" s="20"/>
      <c r="B21" s="21"/>
      <c r="C21" s="578"/>
      <c r="D21" s="578"/>
      <c r="E21" s="578"/>
      <c r="F21" s="578"/>
      <c r="G21" s="23"/>
    </row>
    <row r="22" spans="1:7" ht="24.75" customHeight="1">
      <c r="A22" s="20"/>
      <c r="B22" s="21"/>
      <c r="C22" s="578"/>
      <c r="D22" s="578"/>
      <c r="E22" s="578"/>
      <c r="F22" s="578"/>
      <c r="G22" s="23"/>
    </row>
    <row r="23" spans="1:7" ht="24.75" customHeight="1">
      <c r="A23" s="20"/>
      <c r="B23" s="21"/>
      <c r="C23" s="578"/>
      <c r="D23" s="578"/>
      <c r="E23" s="578"/>
      <c r="F23" s="578"/>
      <c r="G23" s="23"/>
    </row>
    <row r="24" spans="1:7" ht="24.75" customHeight="1">
      <c r="A24" s="20"/>
      <c r="B24" s="21"/>
      <c r="C24" s="578"/>
      <c r="D24" s="578"/>
      <c r="E24" s="578"/>
      <c r="F24" s="578"/>
      <c r="G24" s="23"/>
    </row>
    <row r="25" spans="1:7" ht="24" customHeight="1">
      <c r="A25" s="20"/>
      <c r="B25" s="21"/>
      <c r="C25" s="578"/>
      <c r="D25" s="578"/>
      <c r="E25" s="578"/>
      <c r="F25" s="578"/>
      <c r="G25" s="23"/>
    </row>
    <row r="26" spans="1:7" ht="24.75" customHeight="1">
      <c r="A26" s="24"/>
      <c r="B26" s="25"/>
      <c r="C26" s="576"/>
      <c r="D26" s="576"/>
      <c r="E26" s="576"/>
      <c r="F26" s="576"/>
      <c r="G26" s="26"/>
    </row>
  </sheetData>
  <sheetProtection/>
  <mergeCells count="19">
    <mergeCell ref="A1:G1"/>
    <mergeCell ref="A2:B2"/>
    <mergeCell ref="E2:F2"/>
    <mergeCell ref="C4:F4"/>
    <mergeCell ref="D5:F5"/>
    <mergeCell ref="C6:F6"/>
    <mergeCell ref="C7:F7"/>
    <mergeCell ref="C8:F8"/>
    <mergeCell ref="C9:F9"/>
    <mergeCell ref="D10:F10"/>
    <mergeCell ref="C11:F11"/>
    <mergeCell ref="C19:F19"/>
    <mergeCell ref="C26:F26"/>
    <mergeCell ref="C20:F20"/>
    <mergeCell ref="C21:F21"/>
    <mergeCell ref="C22:F22"/>
    <mergeCell ref="C23:F23"/>
    <mergeCell ref="C24:F24"/>
    <mergeCell ref="C25:F25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Roman,常规"-27-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175" zoomScaleNormal="175" workbookViewId="0" topLeftCell="A4">
      <selection activeCell="H12" sqref="H12:H14"/>
    </sheetView>
  </sheetViews>
  <sheetFormatPr defaultColWidth="8.625" defaultRowHeight="14.25"/>
  <cols>
    <col min="1" max="1" width="5.75390625" style="0" customWidth="1"/>
    <col min="2" max="2" width="13.875" style="0" customWidth="1"/>
    <col min="3" max="3" width="8.625" style="0" customWidth="1"/>
    <col min="4" max="4" width="9.50390625" style="0" bestFit="1" customWidth="1"/>
    <col min="5" max="6" width="8.625" style="0" customWidth="1"/>
    <col min="7" max="7" width="11.00390625" style="0" customWidth="1"/>
    <col min="8" max="8" width="13.125" style="0" customWidth="1"/>
  </cols>
  <sheetData>
    <row r="1" spans="1:8" ht="20.25">
      <c r="A1" s="428" t="s">
        <v>183</v>
      </c>
      <c r="B1" s="428"/>
      <c r="C1" s="428"/>
      <c r="D1" s="428"/>
      <c r="E1" s="428"/>
      <c r="F1" s="428"/>
      <c r="G1" s="428"/>
      <c r="H1" s="428"/>
    </row>
    <row r="2" spans="1:8" ht="15.75" customHeight="1">
      <c r="A2" s="1"/>
      <c r="B2" s="1"/>
      <c r="C2" s="1"/>
      <c r="D2" s="1"/>
      <c r="E2" s="1"/>
      <c r="F2" s="1"/>
      <c r="G2" s="1"/>
      <c r="H2" s="338" t="s">
        <v>160</v>
      </c>
    </row>
    <row r="3" spans="1:8" ht="21.75" customHeight="1">
      <c r="A3" s="446" t="s">
        <v>2</v>
      </c>
      <c r="B3" s="446" t="s">
        <v>184</v>
      </c>
      <c r="C3" s="446" t="s">
        <v>43</v>
      </c>
      <c r="D3" s="446" t="s">
        <v>185</v>
      </c>
      <c r="E3" s="446" t="s">
        <v>186</v>
      </c>
      <c r="F3" s="446"/>
      <c r="G3" s="446"/>
      <c r="H3" s="446"/>
    </row>
    <row r="4" spans="1:8" ht="21.75" customHeight="1">
      <c r="A4" s="446"/>
      <c r="B4" s="446"/>
      <c r="C4" s="446"/>
      <c r="D4" s="446"/>
      <c r="E4" s="8" t="s">
        <v>187</v>
      </c>
      <c r="F4" s="8" t="s">
        <v>188</v>
      </c>
      <c r="G4" s="8" t="s">
        <v>189</v>
      </c>
      <c r="H4" s="8" t="s">
        <v>190</v>
      </c>
    </row>
    <row r="5" spans="1:8" ht="21.75" customHeight="1">
      <c r="A5" s="313">
        <v>1</v>
      </c>
      <c r="B5" s="313" t="s">
        <v>191</v>
      </c>
      <c r="C5" s="312" t="s">
        <v>192</v>
      </c>
      <c r="D5" s="79" t="e">
        <f>#REF!</f>
        <v>#REF!</v>
      </c>
      <c r="E5" s="79" t="e">
        <f>#REF!</f>
        <v>#REF!</v>
      </c>
      <c r="F5" s="79" t="e">
        <f>#REF!</f>
        <v>#REF!</v>
      </c>
      <c r="G5" s="79" t="e">
        <f>SUM(#REF!)</f>
        <v>#REF!</v>
      </c>
      <c r="H5" s="79" t="e">
        <f>#REF!</f>
        <v>#REF!</v>
      </c>
    </row>
    <row r="6" spans="1:8" ht="21.75" customHeight="1">
      <c r="A6" s="313">
        <v>2</v>
      </c>
      <c r="B6" s="313" t="s">
        <v>193</v>
      </c>
      <c r="C6" s="312" t="s">
        <v>192</v>
      </c>
      <c r="D6" s="79" t="e">
        <f>#REF!</f>
        <v>#REF!</v>
      </c>
      <c r="E6" s="79" t="e">
        <f>#REF!</f>
        <v>#REF!</v>
      </c>
      <c r="F6" s="79" t="e">
        <f>#REF!</f>
        <v>#REF!</v>
      </c>
      <c r="G6" s="79" t="e">
        <f>SUM(#REF!)</f>
        <v>#REF!</v>
      </c>
      <c r="H6" s="79" t="e">
        <f>#REF!</f>
        <v>#REF!</v>
      </c>
    </row>
    <row r="7" spans="1:8" ht="21.75" customHeight="1">
      <c r="A7" s="313">
        <v>3</v>
      </c>
      <c r="B7" s="313" t="s">
        <v>194</v>
      </c>
      <c r="C7" s="312" t="s">
        <v>192</v>
      </c>
      <c r="D7" s="79" t="e">
        <f>#REF!</f>
        <v>#REF!</v>
      </c>
      <c r="E7" s="79" t="e">
        <f>#REF!</f>
        <v>#REF!</v>
      </c>
      <c r="F7" s="79" t="e">
        <f>#REF!</f>
        <v>#REF!</v>
      </c>
      <c r="G7" s="79" t="e">
        <f>SUM(#REF!)</f>
        <v>#REF!</v>
      </c>
      <c r="H7" s="79" t="e">
        <f>#REF!</f>
        <v>#REF!</v>
      </c>
    </row>
    <row r="8" spans="1:8" ht="21.75" customHeight="1">
      <c r="A8" s="313">
        <v>4</v>
      </c>
      <c r="B8" s="313" t="s">
        <v>195</v>
      </c>
      <c r="C8" s="312" t="s">
        <v>196</v>
      </c>
      <c r="D8" s="79" t="e">
        <f>#REF!</f>
        <v>#REF!</v>
      </c>
      <c r="E8" s="79" t="e">
        <f>#REF!</f>
        <v>#REF!</v>
      </c>
      <c r="F8" s="79" t="e">
        <f>#REF!</f>
        <v>#REF!</v>
      </c>
      <c r="G8" s="79" t="e">
        <f>SUM(#REF!)</f>
        <v>#REF!</v>
      </c>
      <c r="H8" s="79" t="e">
        <f>#REF!</f>
        <v>#REF!</v>
      </c>
    </row>
    <row r="9" spans="1:8" ht="21.75" customHeight="1" hidden="1">
      <c r="A9" s="313">
        <v>5</v>
      </c>
      <c r="B9" s="313" t="s">
        <v>197</v>
      </c>
      <c r="C9" s="312" t="s">
        <v>196</v>
      </c>
      <c r="D9" s="79" t="e">
        <f>#REF!</f>
        <v>#REF!</v>
      </c>
      <c r="E9" s="79" t="e">
        <f>#REF!</f>
        <v>#REF!</v>
      </c>
      <c r="F9" s="79" t="e">
        <f>#REF!</f>
        <v>#REF!</v>
      </c>
      <c r="G9" s="79" t="e">
        <f>SUM(#REF!)</f>
        <v>#REF!</v>
      </c>
      <c r="H9" s="79" t="e">
        <f>#REF!</f>
        <v>#REF!</v>
      </c>
    </row>
    <row r="10" spans="1:8" ht="21.75" customHeight="1">
      <c r="A10" s="313">
        <v>5</v>
      </c>
      <c r="B10" s="313" t="s">
        <v>198</v>
      </c>
      <c r="C10" s="312" t="s">
        <v>196</v>
      </c>
      <c r="D10" s="79" t="e">
        <f>#REF!</f>
        <v>#REF!</v>
      </c>
      <c r="E10" s="79" t="e">
        <f>#REF!</f>
        <v>#REF!</v>
      </c>
      <c r="F10" s="79" t="e">
        <f>#REF!</f>
        <v>#REF!</v>
      </c>
      <c r="G10" s="79" t="e">
        <f>SUM(#REF!)</f>
        <v>#REF!</v>
      </c>
      <c r="H10" s="79" t="e">
        <f>#REF!</f>
        <v>#REF!</v>
      </c>
    </row>
    <row r="11" spans="1:8" ht="21.75" customHeight="1">
      <c r="A11" s="313">
        <v>6</v>
      </c>
      <c r="B11" s="313" t="s">
        <v>199</v>
      </c>
      <c r="C11" s="312" t="s">
        <v>196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e">
        <f>SUM(#REF!)</f>
        <v>#REF!</v>
      </c>
      <c r="H11" s="79" t="e">
        <f>#REF!</f>
        <v>#REF!</v>
      </c>
    </row>
    <row r="12" spans="1:8" ht="21.75" customHeight="1">
      <c r="A12" s="313">
        <v>7</v>
      </c>
      <c r="B12" s="313" t="s">
        <v>200</v>
      </c>
      <c r="C12" s="312" t="s">
        <v>196</v>
      </c>
      <c r="D12" s="79" t="e">
        <f>#REF!</f>
        <v>#REF!</v>
      </c>
      <c r="E12" s="79" t="e">
        <f>#REF!</f>
        <v>#REF!</v>
      </c>
      <c r="F12" s="79" t="e">
        <f>#REF!</f>
        <v>#REF!</v>
      </c>
      <c r="G12" s="79" t="e">
        <f>SUM(#REF!)</f>
        <v>#REF!</v>
      </c>
      <c r="H12" s="79" t="e">
        <f>#REF!</f>
        <v>#REF!</v>
      </c>
    </row>
    <row r="13" spans="1:8" ht="21.75" customHeight="1">
      <c r="A13" s="313">
        <v>8</v>
      </c>
      <c r="B13" s="312" t="s">
        <v>201</v>
      </c>
      <c r="C13" s="312" t="s">
        <v>196</v>
      </c>
      <c r="D13" s="79" t="e">
        <f>#REF!</f>
        <v>#REF!</v>
      </c>
      <c r="E13" s="79" t="e">
        <f>#REF!</f>
        <v>#REF!</v>
      </c>
      <c r="F13" s="79" t="e">
        <f>#REF!</f>
        <v>#REF!</v>
      </c>
      <c r="G13" s="79" t="e">
        <f>SUM(#REF!)</f>
        <v>#REF!</v>
      </c>
      <c r="H13" s="79" t="e">
        <f>#REF!</f>
        <v>#REF!</v>
      </c>
    </row>
    <row r="14" spans="1:8" ht="21.75" customHeight="1">
      <c r="A14" s="313">
        <v>9</v>
      </c>
      <c r="B14" s="313" t="s">
        <v>202</v>
      </c>
      <c r="C14" s="312" t="s">
        <v>196</v>
      </c>
      <c r="D14" s="79" t="e">
        <f>#REF!</f>
        <v>#REF!</v>
      </c>
      <c r="E14" s="79" t="e">
        <f>#REF!</f>
        <v>#REF!</v>
      </c>
      <c r="F14" s="79" t="e">
        <f>#REF!</f>
        <v>#REF!</v>
      </c>
      <c r="G14" s="79" t="e">
        <f>SUM(#REF!)</f>
        <v>#REF!</v>
      </c>
      <c r="H14" s="79" t="e">
        <f>#REF!</f>
        <v>#REF!</v>
      </c>
    </row>
    <row r="15" spans="1:8" ht="21.75" customHeight="1">
      <c r="A15" s="313">
        <v>10</v>
      </c>
      <c r="B15" s="313" t="s">
        <v>203</v>
      </c>
      <c r="C15" s="312" t="s">
        <v>192</v>
      </c>
      <c r="D15" s="79" t="e">
        <f>#REF!</f>
        <v>#REF!</v>
      </c>
      <c r="E15" s="79" t="e">
        <f>#REF!</f>
        <v>#REF!</v>
      </c>
      <c r="F15" s="79" t="e">
        <f>#REF!</f>
        <v>#REF!</v>
      </c>
      <c r="G15" s="79" t="e">
        <f>SUM(#REF!)</f>
        <v>#REF!</v>
      </c>
      <c r="H15" s="79" t="e">
        <f>#REF!</f>
        <v>#REF!</v>
      </c>
    </row>
    <row r="16" spans="1:8" ht="21.75" customHeight="1">
      <c r="A16" s="313">
        <v>11</v>
      </c>
      <c r="B16" s="313" t="s">
        <v>204</v>
      </c>
      <c r="C16" s="312" t="s">
        <v>192</v>
      </c>
      <c r="D16" s="79" t="e">
        <f>#REF!</f>
        <v>#REF!</v>
      </c>
      <c r="E16" s="79" t="e">
        <f>#REF!</f>
        <v>#REF!</v>
      </c>
      <c r="F16" s="79" t="e">
        <f>#REF!</f>
        <v>#REF!</v>
      </c>
      <c r="G16" s="79" t="e">
        <f>SUM(#REF!)</f>
        <v>#REF!</v>
      </c>
      <c r="H16" s="79" t="e">
        <f>#REF!</f>
        <v>#REF!</v>
      </c>
    </row>
    <row r="17" spans="1:8" ht="21.75" customHeight="1">
      <c r="A17" s="8"/>
      <c r="B17" s="8"/>
      <c r="C17" s="11"/>
      <c r="D17" s="8"/>
      <c r="E17" s="8"/>
      <c r="F17" s="8"/>
      <c r="G17" s="8"/>
      <c r="H17" s="8"/>
    </row>
    <row r="18" spans="1:8" ht="21.75" customHeight="1">
      <c r="A18" s="8"/>
      <c r="B18" s="8"/>
      <c r="C18" s="8"/>
      <c r="D18" s="8"/>
      <c r="E18" s="8"/>
      <c r="F18" s="8"/>
      <c r="G18" s="8"/>
      <c r="H18" s="8"/>
    </row>
    <row r="19" spans="1:8" ht="21.75" customHeight="1" hidden="1">
      <c r="A19" s="8"/>
      <c r="B19" s="8"/>
      <c r="C19" s="8"/>
      <c r="D19" s="8"/>
      <c r="E19" s="8"/>
      <c r="F19" s="8"/>
      <c r="G19" s="8"/>
      <c r="H19" s="8"/>
    </row>
    <row r="20" spans="1:8" ht="21.75" customHeight="1" hidden="1">
      <c r="A20" s="8"/>
      <c r="B20" s="8"/>
      <c r="C20" s="8"/>
      <c r="D20" s="8"/>
      <c r="E20" s="8"/>
      <c r="F20" s="8"/>
      <c r="G20" s="8"/>
      <c r="H20" s="8"/>
    </row>
    <row r="21" spans="1:8" ht="21.75" customHeight="1" hidden="1">
      <c r="A21" s="8"/>
      <c r="B21" s="8"/>
      <c r="C21" s="8"/>
      <c r="D21" s="8"/>
      <c r="E21" s="8"/>
      <c r="F21" s="8"/>
      <c r="G21" s="8"/>
      <c r="H21" s="8"/>
    </row>
    <row r="22" spans="1:8" ht="21.75" customHeight="1" hidden="1">
      <c r="A22" s="8"/>
      <c r="B22" s="8"/>
      <c r="C22" s="8"/>
      <c r="D22" s="8"/>
      <c r="E22" s="8"/>
      <c r="F22" s="8"/>
      <c r="G22" s="8"/>
      <c r="H22" s="8"/>
    </row>
    <row r="23" spans="1:8" ht="21.75" customHeight="1" hidden="1">
      <c r="A23" s="8"/>
      <c r="B23" s="8"/>
      <c r="C23" s="8"/>
      <c r="D23" s="8"/>
      <c r="E23" s="8"/>
      <c r="F23" s="8"/>
      <c r="G23" s="8"/>
      <c r="H23" s="8"/>
    </row>
    <row r="24" spans="1:8" ht="21.75" customHeight="1" hidden="1">
      <c r="A24" s="8"/>
      <c r="B24" s="8"/>
      <c r="C24" s="8"/>
      <c r="D24" s="8"/>
      <c r="E24" s="8"/>
      <c r="F24" s="8"/>
      <c r="G24" s="8"/>
      <c r="H24" s="8"/>
    </row>
    <row r="25" spans="1:8" ht="21.75" customHeight="1">
      <c r="A25" s="8"/>
      <c r="B25" s="8"/>
      <c r="C25" s="8"/>
      <c r="D25" s="8"/>
      <c r="E25" s="8"/>
      <c r="F25" s="8"/>
      <c r="G25" s="8"/>
      <c r="H25" s="8"/>
    </row>
    <row r="26" spans="1:8" ht="21.75" customHeight="1">
      <c r="A26" s="8"/>
      <c r="B26" s="8"/>
      <c r="C26" s="8"/>
      <c r="D26" s="8"/>
      <c r="E26" s="8"/>
      <c r="F26" s="8"/>
      <c r="G26" s="8"/>
      <c r="H26" s="8"/>
    </row>
    <row r="27" spans="1:8" ht="21.75" customHeight="1">
      <c r="A27" s="8"/>
      <c r="B27" s="8"/>
      <c r="C27" s="8"/>
      <c r="D27" s="8"/>
      <c r="E27" s="8"/>
      <c r="F27" s="8"/>
      <c r="G27" s="8"/>
      <c r="H27" s="8"/>
    </row>
    <row r="28" spans="1:8" ht="21.75" customHeight="1">
      <c r="A28" s="8"/>
      <c r="B28" s="8"/>
      <c r="C28" s="8"/>
      <c r="D28" s="8"/>
      <c r="E28" s="8"/>
      <c r="F28" s="8"/>
      <c r="G28" s="8"/>
      <c r="H28" s="8"/>
    </row>
  </sheetData>
  <sheetProtection/>
  <mergeCells count="6">
    <mergeCell ref="A1:H1"/>
    <mergeCell ref="E3:H3"/>
    <mergeCell ref="A3:A4"/>
    <mergeCell ref="B3:B4"/>
    <mergeCell ref="C3:C4"/>
    <mergeCell ref="D3:D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Roman,常规"-&amp;P&amp;--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="130" zoomScaleNormal="130" workbookViewId="0" topLeftCell="A14">
      <selection activeCell="D42" sqref="D42"/>
    </sheetView>
  </sheetViews>
  <sheetFormatPr defaultColWidth="8.625" defaultRowHeight="14.25"/>
  <cols>
    <col min="1" max="1" width="5.625" style="0" customWidth="1"/>
    <col min="2" max="2" width="19.875" style="0" customWidth="1"/>
    <col min="3" max="7" width="8.625" style="0" customWidth="1"/>
    <col min="8" max="8" width="11.125" style="0" customWidth="1"/>
  </cols>
  <sheetData>
    <row r="1" spans="1:8" ht="20.25">
      <c r="A1" s="428" t="s">
        <v>205</v>
      </c>
      <c r="B1" s="428"/>
      <c r="C1" s="428"/>
      <c r="D1" s="428"/>
      <c r="E1" s="428"/>
      <c r="F1" s="428"/>
      <c r="G1" s="428"/>
      <c r="H1" s="428"/>
    </row>
    <row r="2" spans="1:8" ht="21" customHeight="1">
      <c r="A2" s="1"/>
      <c r="B2" s="1"/>
      <c r="C2" s="1"/>
      <c r="D2" s="1"/>
      <c r="E2" s="1"/>
      <c r="F2" s="1"/>
      <c r="G2" s="1"/>
      <c r="H2" s="338" t="s">
        <v>160</v>
      </c>
    </row>
    <row r="3" spans="1:8" ht="15.75">
      <c r="A3" s="446" t="s">
        <v>2</v>
      </c>
      <c r="B3" s="446" t="s">
        <v>184</v>
      </c>
      <c r="C3" s="446" t="s">
        <v>206</v>
      </c>
      <c r="D3" s="446" t="s">
        <v>186</v>
      </c>
      <c r="E3" s="446"/>
      <c r="F3" s="446"/>
      <c r="G3" s="446"/>
      <c r="H3" s="446"/>
    </row>
    <row r="4" spans="1:8" ht="31.5" customHeight="1">
      <c r="A4" s="446"/>
      <c r="B4" s="446"/>
      <c r="C4" s="446"/>
      <c r="D4" s="8" t="s">
        <v>207</v>
      </c>
      <c r="E4" s="313" t="s">
        <v>208</v>
      </c>
      <c r="F4" s="8" t="s">
        <v>209</v>
      </c>
      <c r="G4" s="8" t="s">
        <v>162</v>
      </c>
      <c r="H4" s="8" t="s">
        <v>210</v>
      </c>
    </row>
    <row r="5" spans="1:8" ht="20.25" customHeight="1">
      <c r="A5" s="313">
        <v>1</v>
      </c>
      <c r="B5" s="29" t="s">
        <v>211</v>
      </c>
      <c r="C5" s="314">
        <f aca="true" t="shared" si="0" ref="C5:C39">SUM(D5:H5)</f>
        <v>126.81077161646506</v>
      </c>
      <c r="D5" s="79">
        <f>35.63/1.13</f>
        <v>31.530973451327437</v>
      </c>
      <c r="E5" s="79">
        <f>25.46/1.09</f>
        <v>23.357798165137613</v>
      </c>
      <c r="F5" s="79">
        <v>2.18</v>
      </c>
      <c r="G5" s="79">
        <f>'台时-1'!G5</f>
        <v>25.191000000000003</v>
      </c>
      <c r="H5" s="339">
        <f>'台时-1'!E5-'台时-1'!G5</f>
        <v>44.551</v>
      </c>
    </row>
    <row r="6" spans="1:8" ht="20.25" customHeight="1">
      <c r="A6" s="313">
        <v>2</v>
      </c>
      <c r="B6" s="29" t="s">
        <v>212</v>
      </c>
      <c r="C6" s="314">
        <f t="shared" si="0"/>
        <v>69.50047625233417</v>
      </c>
      <c r="D6" s="79">
        <f>10.8/1.13</f>
        <v>9.557522123893806</v>
      </c>
      <c r="E6" s="79">
        <f>13.02/1.09</f>
        <v>11.944954128440365</v>
      </c>
      <c r="F6" s="79">
        <v>0.49</v>
      </c>
      <c r="G6" s="79">
        <f>SUM('台时-1'!G9)</f>
        <v>22.392</v>
      </c>
      <c r="H6" s="339">
        <f>SUM('台时-1'!K9)</f>
        <v>25.116000000000003</v>
      </c>
    </row>
    <row r="7" spans="1:8" ht="20.25" customHeight="1">
      <c r="A7" s="313">
        <v>3</v>
      </c>
      <c r="B7" s="29" t="s">
        <v>213</v>
      </c>
      <c r="C7" s="314">
        <f t="shared" si="0"/>
        <v>92.68676479662255</v>
      </c>
      <c r="D7" s="79">
        <f>19/1.13</f>
        <v>16.8141592920354</v>
      </c>
      <c r="E7" s="79">
        <f>22.81/1.09</f>
        <v>20.926605504587155</v>
      </c>
      <c r="F7" s="79">
        <v>0.86</v>
      </c>
      <c r="G7" s="79">
        <f>SUM('台时-1'!G10)</f>
        <v>22.392</v>
      </c>
      <c r="H7" s="339">
        <f>SUM('台时-1'!K10)</f>
        <v>31.694000000000003</v>
      </c>
    </row>
    <row r="8" spans="1:8" ht="20.25" customHeight="1">
      <c r="A8" s="313">
        <v>4</v>
      </c>
      <c r="B8" s="29" t="s">
        <v>214</v>
      </c>
      <c r="C8" s="314">
        <f t="shared" si="0"/>
        <v>129.76514151173174</v>
      </c>
      <c r="D8" s="79">
        <f>32.91/1.13</f>
        <v>29.123893805309734</v>
      </c>
      <c r="E8" s="79">
        <f>35.64/1.09</f>
        <v>32.69724770642202</v>
      </c>
      <c r="F8" s="79">
        <v>1.3</v>
      </c>
      <c r="G8" s="79">
        <f>SUM('台时-1'!G12)</f>
        <v>22.392</v>
      </c>
      <c r="H8" s="339">
        <f>SUM('台时-1'!K12)</f>
        <v>44.252</v>
      </c>
    </row>
    <row r="9" spans="1:8" ht="20.25" customHeight="1">
      <c r="A9" s="313">
        <v>5</v>
      </c>
      <c r="B9" s="29" t="s">
        <v>215</v>
      </c>
      <c r="C9" s="314">
        <f t="shared" si="0"/>
        <v>71.51318998132662</v>
      </c>
      <c r="D9" s="79">
        <f>9.65/1.13</f>
        <v>8.53982300884956</v>
      </c>
      <c r="E9" s="79">
        <f>11.38/1.09</f>
        <v>10.440366972477063</v>
      </c>
      <c r="F9" s="79">
        <v>0.54</v>
      </c>
      <c r="G9" s="79">
        <f>SUM('台时-1'!G15)</f>
        <v>22.392</v>
      </c>
      <c r="H9" s="339">
        <f>SUM('台时-1'!K15)</f>
        <v>29.601000000000003</v>
      </c>
    </row>
    <row r="10" spans="1:8" ht="20.25" customHeight="1">
      <c r="A10" s="313">
        <v>6</v>
      </c>
      <c r="B10" s="29" t="s">
        <v>216</v>
      </c>
      <c r="C10" s="314">
        <f t="shared" si="0"/>
        <v>54.38068896646911</v>
      </c>
      <c r="D10" s="79">
        <f>5.07/1.13</f>
        <v>4.486725663716815</v>
      </c>
      <c r="E10" s="79">
        <f>5.62/1.09</f>
        <v>5.155963302752293</v>
      </c>
      <c r="F10" s="79">
        <v>0.22</v>
      </c>
      <c r="G10" s="79">
        <f>SUM('台时-4'!G18)</f>
        <v>22.392</v>
      </c>
      <c r="H10" s="339">
        <f>SUM('台时-4'!K18)</f>
        <v>22.126</v>
      </c>
    </row>
    <row r="11" spans="1:8" ht="20.25" customHeight="1">
      <c r="A11" s="313">
        <v>7</v>
      </c>
      <c r="B11" s="29" t="s">
        <v>217</v>
      </c>
      <c r="C11" s="314" t="e">
        <f t="shared" si="0"/>
        <v>#REF!</v>
      </c>
      <c r="D11" s="79">
        <f>0.17/1.13</f>
        <v>0.1504424778761062</v>
      </c>
      <c r="E11" s="79">
        <f>1.01/1.09</f>
        <v>0.9266055045871558</v>
      </c>
      <c r="F11" s="79"/>
      <c r="G11" s="79">
        <f>'台时-1'!G17</f>
        <v>18.66</v>
      </c>
      <c r="H11" s="339" t="e">
        <f>'台时-1'!E17-'台时-1'!G17</f>
        <v>#REF!</v>
      </c>
    </row>
    <row r="12" spans="1:8" ht="20.25" customHeight="1">
      <c r="A12" s="313">
        <v>8</v>
      </c>
      <c r="B12" s="29" t="s">
        <v>218</v>
      </c>
      <c r="C12" s="314" t="e">
        <f t="shared" si="0"/>
        <v>#REF!</v>
      </c>
      <c r="D12" s="79">
        <f>3.29/1.13</f>
        <v>2.9115044247787614</v>
      </c>
      <c r="E12" s="79">
        <f>5.34/1.09</f>
        <v>4.899082568807339</v>
      </c>
      <c r="F12" s="79">
        <v>1.07</v>
      </c>
      <c r="G12" s="79">
        <f>'台时-1'!G27</f>
        <v>12.129000000000001</v>
      </c>
      <c r="H12" s="339" t="e">
        <f>'台时-1'!E27-'台时-1'!G27</f>
        <v>#REF!</v>
      </c>
    </row>
    <row r="13" spans="1:8" ht="20.25" customHeight="1">
      <c r="A13" s="313">
        <v>9</v>
      </c>
      <c r="B13" s="12" t="s">
        <v>219</v>
      </c>
      <c r="C13" s="314" t="e">
        <f t="shared" si="0"/>
        <v>#REF!</v>
      </c>
      <c r="D13" s="79">
        <f>0.32/1.13</f>
        <v>0.28318584070796465</v>
      </c>
      <c r="E13" s="79">
        <f>1.22/1.09</f>
        <v>1.1192660550458715</v>
      </c>
      <c r="F13" s="79"/>
      <c r="G13" s="79"/>
      <c r="H13" s="339" t="e">
        <f>'台时-2'!E6</f>
        <v>#REF!</v>
      </c>
    </row>
    <row r="14" spans="1:8" ht="20.25" customHeight="1">
      <c r="A14" s="313">
        <v>10</v>
      </c>
      <c r="B14" s="12" t="s">
        <v>220</v>
      </c>
      <c r="C14" s="314" t="e">
        <f t="shared" si="0"/>
        <v>#REF!</v>
      </c>
      <c r="D14" s="79">
        <f>0.51/1.13</f>
        <v>0.4513274336283186</v>
      </c>
      <c r="E14" s="79">
        <f>1.8/1.09</f>
        <v>1.6513761467889907</v>
      </c>
      <c r="F14" s="79"/>
      <c r="G14" s="79"/>
      <c r="H14" s="339" t="e">
        <f>SUM('台时-2'!M7)</f>
        <v>#REF!</v>
      </c>
    </row>
    <row r="15" spans="1:8" ht="20.25" customHeight="1">
      <c r="A15" s="313">
        <v>11</v>
      </c>
      <c r="B15" s="29" t="s">
        <v>221</v>
      </c>
      <c r="C15" s="314" t="e">
        <f t="shared" si="0"/>
        <v>#REF!</v>
      </c>
      <c r="D15" s="79">
        <f>3.48/1.13</f>
        <v>3.0796460176991154</v>
      </c>
      <c r="E15" s="79">
        <f>7.96/1.09</f>
        <v>7.302752293577981</v>
      </c>
      <c r="F15" s="79"/>
      <c r="G15" s="79"/>
      <c r="H15" s="339" t="e">
        <f>SUM('台时-2'!M10)</f>
        <v>#REF!</v>
      </c>
    </row>
    <row r="16" spans="1:8" ht="20.25" customHeight="1">
      <c r="A16" s="313">
        <v>12</v>
      </c>
      <c r="B16" s="12" t="s">
        <v>222</v>
      </c>
      <c r="C16" s="314" t="e">
        <f t="shared" si="0"/>
        <v>#REF!</v>
      </c>
      <c r="D16" s="79">
        <f>0.24/1.13</f>
        <v>0.21238938053097348</v>
      </c>
      <c r="E16" s="79">
        <f>0.42/1.09</f>
        <v>0.38532110091743116</v>
      </c>
      <c r="F16" s="79"/>
      <c r="G16" s="79">
        <f>'台时-2'!G12</f>
        <v>0</v>
      </c>
      <c r="H16" s="339" t="e">
        <f>SUM('台时-2'!O12+'台时-2'!Q12)</f>
        <v>#REF!</v>
      </c>
    </row>
    <row r="17" spans="1:8" ht="20.25" customHeight="1">
      <c r="A17" s="313">
        <v>13</v>
      </c>
      <c r="B17" s="29" t="s">
        <v>223</v>
      </c>
      <c r="C17" s="314">
        <f t="shared" si="0"/>
        <v>51.10840894698384</v>
      </c>
      <c r="D17" s="79">
        <f>7.77/1.13</f>
        <v>6.876106194690266</v>
      </c>
      <c r="E17" s="79">
        <f>10.86/1.09</f>
        <v>9.963302752293577</v>
      </c>
      <c r="F17" s="79"/>
      <c r="G17" s="79">
        <f>SUM('台时-2'!G13)</f>
        <v>12.129000000000001</v>
      </c>
      <c r="H17" s="339">
        <f>SUM('台时-2'!I13)</f>
        <v>22.14</v>
      </c>
    </row>
    <row r="18" spans="1:8" ht="20.25" customHeight="1" hidden="1">
      <c r="A18" s="313">
        <v>14</v>
      </c>
      <c r="B18" s="29" t="s">
        <v>224</v>
      </c>
      <c r="C18" s="314">
        <f t="shared" si="0"/>
        <v>74.47768546807679</v>
      </c>
      <c r="D18" s="79">
        <f>22.59/1.15</f>
        <v>19.643478260869568</v>
      </c>
      <c r="E18" s="79">
        <f>13.55/1.11</f>
        <v>12.207207207207206</v>
      </c>
      <c r="F18" s="79"/>
      <c r="G18" s="79">
        <f>SUM('台时-2'!G17)</f>
        <v>12.129000000000001</v>
      </c>
      <c r="H18" s="339">
        <f>SUM('台时-2'!K17)</f>
        <v>30.498</v>
      </c>
    </row>
    <row r="19" spans="1:8" ht="20.25" customHeight="1">
      <c r="A19" s="313">
        <v>14</v>
      </c>
      <c r="B19" s="29" t="s">
        <v>225</v>
      </c>
      <c r="C19" s="314">
        <f t="shared" si="0"/>
        <v>88.19229171064383</v>
      </c>
      <c r="D19" s="79">
        <f>30.49/1.13</f>
        <v>26.98230088495575</v>
      </c>
      <c r="E19" s="79">
        <f>18.3/1.09</f>
        <v>16.788990825688074</v>
      </c>
      <c r="F19" s="79"/>
      <c r="G19" s="79">
        <f>SUM('台时-2'!G18)</f>
        <v>12.129000000000001</v>
      </c>
      <c r="H19" s="339">
        <f>SUM('台时-2'!K18)</f>
        <v>32.292</v>
      </c>
    </row>
    <row r="20" spans="1:8" ht="20.25" customHeight="1">
      <c r="A20" s="313">
        <v>15</v>
      </c>
      <c r="B20" s="29" t="s">
        <v>226</v>
      </c>
      <c r="C20" s="314">
        <f t="shared" si="0"/>
        <v>54.47969172688154</v>
      </c>
      <c r="D20" s="79">
        <f>11.29/1.13</f>
        <v>9.991150442477876</v>
      </c>
      <c r="E20" s="79">
        <f>12.48/1.09</f>
        <v>11.449541284403669</v>
      </c>
      <c r="F20" s="79"/>
      <c r="G20" s="79">
        <f>SUM('台时-2'!G21)</f>
        <v>12.129000000000001</v>
      </c>
      <c r="H20" s="339">
        <f>SUM('台时-2'!I21)</f>
        <v>20.91</v>
      </c>
    </row>
    <row r="21" spans="1:8" ht="20.25" customHeight="1">
      <c r="A21" s="313">
        <v>16</v>
      </c>
      <c r="B21" s="29" t="s">
        <v>227</v>
      </c>
      <c r="C21" s="314">
        <f t="shared" si="0"/>
        <v>0.8172444588779735</v>
      </c>
      <c r="D21" s="79">
        <f>0.26/1.13</f>
        <v>0.23008849557522126</v>
      </c>
      <c r="E21" s="79">
        <f>0.64/1.09</f>
        <v>0.5871559633027522</v>
      </c>
      <c r="F21" s="79"/>
      <c r="G21" s="79"/>
      <c r="H21" s="339"/>
    </row>
    <row r="22" spans="1:8" ht="20.25" customHeight="1">
      <c r="A22" s="313">
        <v>17</v>
      </c>
      <c r="B22" s="29" t="s">
        <v>228</v>
      </c>
      <c r="C22" s="314">
        <f t="shared" si="0"/>
        <v>18.81291207274499</v>
      </c>
      <c r="D22" s="79">
        <f>1.22/1.13</f>
        <v>1.0796460176991152</v>
      </c>
      <c r="E22" s="79">
        <f>1.22/1.09</f>
        <v>1.1192660550458715</v>
      </c>
      <c r="F22" s="79"/>
      <c r="G22" s="79">
        <f>SUM('台时-4'!G23)</f>
        <v>12.129000000000001</v>
      </c>
      <c r="H22" s="339">
        <f>SUM('台时-4'!K23)</f>
        <v>4.485</v>
      </c>
    </row>
    <row r="23" spans="1:8" ht="20.25" customHeight="1">
      <c r="A23" s="313">
        <v>18</v>
      </c>
      <c r="B23" s="12" t="s">
        <v>229</v>
      </c>
      <c r="C23" s="314" t="e">
        <f t="shared" si="0"/>
        <v>#REF!</v>
      </c>
      <c r="D23" s="79">
        <f>41.37/1.13</f>
        <v>36.61061946902655</v>
      </c>
      <c r="E23" s="79">
        <f>16.89/1.09</f>
        <v>15.495412844036696</v>
      </c>
      <c r="F23" s="8">
        <v>3.1</v>
      </c>
      <c r="G23" s="79">
        <f>SUM('台时-3'!G7)</f>
        <v>25.191000000000003</v>
      </c>
      <c r="H23" s="79" t="e">
        <f>SUM('台时-3'!M7)</f>
        <v>#REF!</v>
      </c>
    </row>
    <row r="24" spans="1:8" ht="20.25" customHeight="1">
      <c r="A24" s="313">
        <v>19</v>
      </c>
      <c r="B24" s="12" t="s">
        <v>230</v>
      </c>
      <c r="C24" s="314">
        <f t="shared" si="0"/>
        <v>48.01912373142811</v>
      </c>
      <c r="D24" s="79">
        <f>12.92/1.13</f>
        <v>11.433628318584072</v>
      </c>
      <c r="E24" s="79">
        <f>12.42/1.09</f>
        <v>11.394495412844035</v>
      </c>
      <c r="F24" s="8"/>
      <c r="G24" s="79">
        <f>SUM('台时-3'!G12)</f>
        <v>25.191000000000003</v>
      </c>
      <c r="H24" s="79">
        <f>SUM('台时-3'!K12)</f>
        <v>0</v>
      </c>
    </row>
    <row r="25" spans="1:8" ht="20.25" customHeight="1">
      <c r="A25" s="313">
        <v>20</v>
      </c>
      <c r="B25" s="29" t="s">
        <v>231</v>
      </c>
      <c r="C25" s="314" t="e">
        <f t="shared" si="0"/>
        <v>#REF!</v>
      </c>
      <c r="D25" s="79">
        <f>0.33/1.13</f>
        <v>0.29203539823008856</v>
      </c>
      <c r="E25" s="79">
        <f>0.3/1.09</f>
        <v>0.2752293577981651</v>
      </c>
      <c r="F25" s="8">
        <v>0.09</v>
      </c>
      <c r="G25" s="8"/>
      <c r="H25" s="79" t="e">
        <f>SUM('台时-4'!M12)</f>
        <v>#REF!</v>
      </c>
    </row>
    <row r="26" spans="1:8" ht="20.25" customHeight="1">
      <c r="A26" s="313">
        <v>21</v>
      </c>
      <c r="B26" s="8" t="s">
        <v>232</v>
      </c>
      <c r="C26" s="314" t="e">
        <f t="shared" si="0"/>
        <v>#REF!</v>
      </c>
      <c r="D26" s="79">
        <f>1.69/1.13</f>
        <v>1.4955752212389382</v>
      </c>
      <c r="E26" s="79">
        <f>2.56/1.09</f>
        <v>2.348623853211009</v>
      </c>
      <c r="F26" s="8">
        <v>0.76</v>
      </c>
      <c r="G26" s="79">
        <f>SUM('台时-4'!G13)</f>
        <v>12.129000000000001</v>
      </c>
      <c r="H26" s="339" t="e">
        <f>SUM('台时-4'!M13+'台时-4'!O13+'台时-4'!Q13)</f>
        <v>#REF!</v>
      </c>
    </row>
    <row r="27" spans="1:8" ht="20.25" customHeight="1">
      <c r="A27" s="313">
        <v>22</v>
      </c>
      <c r="B27" s="12" t="s">
        <v>233</v>
      </c>
      <c r="C27" s="314" t="e">
        <f t="shared" si="0"/>
        <v>#REF!</v>
      </c>
      <c r="D27" s="79">
        <f>0.53/1.13</f>
        <v>0.46902654867256643</v>
      </c>
      <c r="E27" s="79">
        <f>1.45/1.09</f>
        <v>1.330275229357798</v>
      </c>
      <c r="F27" s="8">
        <v>0.24</v>
      </c>
      <c r="G27" s="79">
        <f>SUM('台时-4'!G14)</f>
        <v>12.129000000000001</v>
      </c>
      <c r="H27" s="79" t="e">
        <f>SUM('台时-4'!M14)</f>
        <v>#REF!</v>
      </c>
    </row>
    <row r="28" spans="1:8" ht="20.25" customHeight="1">
      <c r="A28" s="313">
        <v>23</v>
      </c>
      <c r="B28" s="12" t="s">
        <v>234</v>
      </c>
      <c r="C28" s="314" t="e">
        <f t="shared" si="0"/>
        <v>#REF!</v>
      </c>
      <c r="D28" s="79">
        <f>1.18/1.13</f>
        <v>1.0442477876106195</v>
      </c>
      <c r="E28" s="79">
        <f>1.71/1.09</f>
        <v>1.5688073394495412</v>
      </c>
      <c r="F28" s="8">
        <v>0.28</v>
      </c>
      <c r="G28" s="79">
        <f>SUM('台时-4'!G15)</f>
        <v>12.129000000000001</v>
      </c>
      <c r="H28" s="79" t="e">
        <f>SUM('台时-4'!M15)</f>
        <v>#REF!</v>
      </c>
    </row>
    <row r="29" spans="1:8" ht="20.25" customHeight="1">
      <c r="A29" s="313">
        <v>24</v>
      </c>
      <c r="B29" s="8" t="s">
        <v>235</v>
      </c>
      <c r="C29" s="314" t="e">
        <f t="shared" si="0"/>
        <v>#REF!</v>
      </c>
      <c r="D29" s="79">
        <f>1.6/1.13</f>
        <v>1.4159292035398232</v>
      </c>
      <c r="E29" s="79">
        <f>2.69/1.09</f>
        <v>2.4678899082568804</v>
      </c>
      <c r="F29" s="8">
        <v>0.44</v>
      </c>
      <c r="G29" s="79">
        <f>SUM('台时-4'!G16)</f>
        <v>12.129000000000001</v>
      </c>
      <c r="H29" s="79" t="e">
        <f>SUM('台时-4'!M16)</f>
        <v>#REF!</v>
      </c>
    </row>
    <row r="30" spans="1:8" ht="20.25" customHeight="1">
      <c r="A30" s="313">
        <v>25</v>
      </c>
      <c r="B30" s="201" t="s">
        <v>236</v>
      </c>
      <c r="C30" s="314" t="e">
        <f t="shared" si="0"/>
        <v>#REF!</v>
      </c>
      <c r="D30" s="79">
        <f>3.4/1.13</f>
        <v>3.008849557522124</v>
      </c>
      <c r="E30" s="79">
        <f>4.91/1.09</f>
        <v>4.504587155963303</v>
      </c>
      <c r="F30" s="8">
        <v>0.85</v>
      </c>
      <c r="G30" s="79">
        <f>SUM('台时-1'!G23)</f>
        <v>12.129000000000001</v>
      </c>
      <c r="H30" s="79" t="e">
        <f>SUM('台时-1'!M23)</f>
        <v>#REF!</v>
      </c>
    </row>
    <row r="31" spans="1:8" ht="20.25" customHeight="1">
      <c r="A31" s="313">
        <v>26</v>
      </c>
      <c r="B31" s="184" t="s">
        <v>237</v>
      </c>
      <c r="C31" s="314" t="e">
        <f t="shared" si="0"/>
        <v>#REF!</v>
      </c>
      <c r="D31" s="79">
        <f>0.19/1.13</f>
        <v>0.168141592920354</v>
      </c>
      <c r="E31" s="79">
        <f>1.08/1.09</f>
        <v>0.9908256880733944</v>
      </c>
      <c r="F31" s="8">
        <v>0.32</v>
      </c>
      <c r="G31" s="79">
        <f>SUM('台时-3'!G22)</f>
        <v>12.129000000000001</v>
      </c>
      <c r="H31" s="79" t="e">
        <f>SUM('台时-3'!M22)</f>
        <v>#REF!</v>
      </c>
    </row>
    <row r="32" spans="1:8" ht="20.25" customHeight="1">
      <c r="A32" s="313">
        <v>27</v>
      </c>
      <c r="B32" s="201" t="s">
        <v>238</v>
      </c>
      <c r="C32" s="314" t="e">
        <f t="shared" si="0"/>
        <v>#REF!</v>
      </c>
      <c r="D32" s="79">
        <f>3.26/1.13</f>
        <v>2.8849557522123894</v>
      </c>
      <c r="E32" s="79">
        <f>6.74/1.09</f>
        <v>6.18348623853211</v>
      </c>
      <c r="F32" s="79">
        <v>1.02</v>
      </c>
      <c r="G32" s="79">
        <f>SUM('台时-1'!G25)</f>
        <v>22.392</v>
      </c>
      <c r="H32" s="339" t="e">
        <f>SUM('台时-1'!K25)</f>
        <v>#REF!</v>
      </c>
    </row>
    <row r="33" spans="1:8" ht="20.25" customHeight="1" hidden="1">
      <c r="A33" s="313">
        <v>15</v>
      </c>
      <c r="B33" s="12" t="s">
        <v>239</v>
      </c>
      <c r="C33" s="314" t="e">
        <f t="shared" si="0"/>
        <v>#REF!</v>
      </c>
      <c r="D33" s="149">
        <f>1.1/1.15</f>
        <v>0.9565217391304349</v>
      </c>
      <c r="E33" s="79">
        <f>4.45/1.11</f>
        <v>4.0090090090090085</v>
      </c>
      <c r="F33" s="8">
        <v>1.2</v>
      </c>
      <c r="G33" s="79">
        <f>'台时-4'!G9</f>
        <v>12.129000000000001</v>
      </c>
      <c r="H33" s="339" t="e">
        <f>SUM('台时-4'!M8)</f>
        <v>#REF!</v>
      </c>
    </row>
    <row r="34" spans="1:8" ht="20.25" customHeight="1" hidden="1">
      <c r="A34" s="313">
        <v>16</v>
      </c>
      <c r="B34" s="8" t="s">
        <v>240</v>
      </c>
      <c r="C34" s="314" t="e">
        <f t="shared" si="0"/>
        <v>#REF!</v>
      </c>
      <c r="D34" s="79">
        <f>1.75/1.15</f>
        <v>1.5217391304347827</v>
      </c>
      <c r="E34" s="79">
        <f>0.68/1.11</f>
        <v>0.6126126126126126</v>
      </c>
      <c r="F34" s="8">
        <v>0.03</v>
      </c>
      <c r="G34" s="79">
        <f>SUM('台时-3'!G18)</f>
        <v>9.33</v>
      </c>
      <c r="H34" s="339" t="e">
        <f>'台时-3'!M18</f>
        <v>#REF!</v>
      </c>
    </row>
    <row r="35" spans="1:8" ht="20.25" customHeight="1" hidden="1">
      <c r="A35" s="313">
        <v>17</v>
      </c>
      <c r="B35" s="8" t="s">
        <v>241</v>
      </c>
      <c r="C35" s="314" t="e">
        <f t="shared" si="0"/>
        <v>#REF!</v>
      </c>
      <c r="D35" s="79">
        <f>1.24/1.15</f>
        <v>1.0782608695652174</v>
      </c>
      <c r="E35" s="79">
        <f>0.76/1.11</f>
        <v>0.6846846846846847</v>
      </c>
      <c r="F35" s="8"/>
      <c r="G35" s="79"/>
      <c r="H35" s="79" t="e">
        <f>SUM('台时-3'!M17)</f>
        <v>#REF!</v>
      </c>
    </row>
    <row r="36" spans="1:8" ht="20.25" customHeight="1" hidden="1">
      <c r="A36" s="313">
        <v>18</v>
      </c>
      <c r="B36" s="39" t="s">
        <v>242</v>
      </c>
      <c r="C36" s="314">
        <f t="shared" si="0"/>
        <v>66.19456756756757</v>
      </c>
      <c r="D36" s="79">
        <f>10.12/1.15</f>
        <v>8.8</v>
      </c>
      <c r="E36" s="79">
        <f>17.28/1.11</f>
        <v>15.567567567567567</v>
      </c>
      <c r="F36" s="8"/>
      <c r="G36" s="79">
        <f>SUM('台时-4'!G22)</f>
        <v>22.392</v>
      </c>
      <c r="H36" s="79">
        <f>SUM('台时-4'!K22)</f>
        <v>19.435000000000002</v>
      </c>
    </row>
    <row r="37" spans="1:8" ht="20.25" customHeight="1" hidden="1">
      <c r="A37" s="313">
        <v>26</v>
      </c>
      <c r="B37" s="12" t="s">
        <v>243</v>
      </c>
      <c r="C37" s="314" t="e">
        <f t="shared" si="0"/>
        <v>#REF!</v>
      </c>
      <c r="D37" s="79">
        <f>0.4/1.15</f>
        <v>0.3478260869565218</v>
      </c>
      <c r="E37" s="79">
        <f>1.17/1.11</f>
        <v>1.054054054054054</v>
      </c>
      <c r="F37" s="8">
        <v>0.05</v>
      </c>
      <c r="G37" s="79">
        <f>SUM('台时-4'!G19)</f>
        <v>22.392</v>
      </c>
      <c r="H37" s="79" t="e">
        <f>SUM('台时-4'!M19)</f>
        <v>#REF!</v>
      </c>
    </row>
    <row r="38" spans="1:8" ht="20.25" customHeight="1" hidden="1">
      <c r="A38" s="313">
        <v>27</v>
      </c>
      <c r="B38" s="12" t="s">
        <v>244</v>
      </c>
      <c r="C38" s="314" t="e">
        <f t="shared" si="0"/>
        <v>#REF!</v>
      </c>
      <c r="D38" s="79">
        <f>1.01/1.15</f>
        <v>0.8782608695652174</v>
      </c>
      <c r="E38" s="79">
        <f>1.1/1.11</f>
        <v>0.990990990990991</v>
      </c>
      <c r="F38" s="8">
        <v>0.15</v>
      </c>
      <c r="G38" s="79">
        <f>SUM('台时-4'!G20)</f>
        <v>12.129000000000001</v>
      </c>
      <c r="H38" s="79" t="e">
        <f>SUM('台时-4'!M20)</f>
        <v>#REF!</v>
      </c>
    </row>
    <row r="39" spans="1:8" ht="20.25" customHeight="1" hidden="1">
      <c r="A39" s="313">
        <v>28</v>
      </c>
      <c r="B39" s="12" t="s">
        <v>245</v>
      </c>
      <c r="C39" s="314" t="e">
        <f t="shared" si="0"/>
        <v>#REF!</v>
      </c>
      <c r="D39" s="79">
        <f>8.65/1.15</f>
        <v>7.521739130434783</v>
      </c>
      <c r="E39" s="79">
        <f>4.89/1.11</f>
        <v>4.405405405405404</v>
      </c>
      <c r="F39" s="8">
        <v>1.33</v>
      </c>
      <c r="G39" s="79">
        <f>SUM('台时-4'!G17)</f>
        <v>12.129000000000001</v>
      </c>
      <c r="H39" s="79" t="e">
        <f>SUM('台时-4'!M17)</f>
        <v>#REF!</v>
      </c>
    </row>
    <row r="40" spans="1:8" ht="20.25" customHeight="1" hidden="1">
      <c r="A40" s="313"/>
      <c r="B40" s="201"/>
      <c r="C40" s="314"/>
      <c r="D40" s="79"/>
      <c r="E40" s="79"/>
      <c r="F40" s="79"/>
      <c r="G40" s="79"/>
      <c r="H40" s="339"/>
    </row>
    <row r="41" spans="1:8" ht="20.25" customHeight="1" hidden="1">
      <c r="A41" s="21"/>
      <c r="B41" s="21"/>
      <c r="C41" s="21"/>
      <c r="D41" s="21"/>
      <c r="E41" s="21"/>
      <c r="F41" s="21"/>
      <c r="G41" s="21"/>
      <c r="H41" s="21"/>
    </row>
  </sheetData>
  <sheetProtection/>
  <mergeCells count="5">
    <mergeCell ref="A1:H1"/>
    <mergeCell ref="D3:H3"/>
    <mergeCell ref="A3:A4"/>
    <mergeCell ref="B3:B4"/>
    <mergeCell ref="C3:C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Roman,常规"-&amp;P&amp;--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4"/>
  <sheetViews>
    <sheetView zoomScale="160" zoomScaleNormal="16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7" sqref="F7"/>
    </sheetView>
  </sheetViews>
  <sheetFormatPr defaultColWidth="8.625" defaultRowHeight="14.25"/>
  <cols>
    <col min="1" max="1" width="6.75390625" style="0" customWidth="1"/>
    <col min="2" max="2" width="28.375" style="0" customWidth="1"/>
    <col min="3" max="3" width="8.50390625" style="0" customWidth="1"/>
    <col min="4" max="5" width="11.25390625" style="0" customWidth="1"/>
    <col min="6" max="7" width="12.00390625" style="0" customWidth="1"/>
  </cols>
  <sheetData>
    <row r="1" spans="1:7" ht="20.25">
      <c r="A1" s="428" t="s">
        <v>252</v>
      </c>
      <c r="B1" s="428"/>
      <c r="C1" s="428"/>
      <c r="D1" s="428"/>
      <c r="E1" s="428"/>
      <c r="F1" s="428"/>
      <c r="G1" s="428"/>
    </row>
    <row r="2" spans="1:6" ht="12" customHeight="1">
      <c r="A2" s="447"/>
      <c r="B2" s="447"/>
      <c r="C2" s="447"/>
      <c r="D2" s="447"/>
      <c r="E2" s="447"/>
      <c r="F2" s="447"/>
    </row>
    <row r="3" spans="1:7" ht="21.75" customHeight="1">
      <c r="A3" s="448" t="s">
        <v>2</v>
      </c>
      <c r="B3" s="448" t="s">
        <v>253</v>
      </c>
      <c r="C3" s="448" t="s">
        <v>250</v>
      </c>
      <c r="D3" s="448"/>
      <c r="E3" s="448" t="s">
        <v>254</v>
      </c>
      <c r="F3" s="448"/>
      <c r="G3" s="12" t="s">
        <v>249</v>
      </c>
    </row>
    <row r="4" spans="1:7" ht="21.75" customHeight="1" hidden="1">
      <c r="A4" s="448"/>
      <c r="B4" s="448"/>
      <c r="C4" s="12" t="s">
        <v>43</v>
      </c>
      <c r="D4" s="12" t="s">
        <v>44</v>
      </c>
      <c r="E4" s="12" t="s">
        <v>251</v>
      </c>
      <c r="F4" s="12" t="s">
        <v>44</v>
      </c>
      <c r="G4" s="21"/>
    </row>
    <row r="5" spans="1:7" ht="18.75" customHeight="1">
      <c r="A5" s="320"/>
      <c r="B5" s="321" t="s">
        <v>255</v>
      </c>
      <c r="C5" s="321"/>
      <c r="D5" s="321"/>
      <c r="E5" s="322"/>
      <c r="F5" s="323" t="e">
        <f>SUM(F6+F112)</f>
        <v>#REF!</v>
      </c>
      <c r="G5" s="324"/>
    </row>
    <row r="6" spans="1:7" ht="18.75" customHeight="1">
      <c r="A6" s="320" t="s">
        <v>11</v>
      </c>
      <c r="B6" s="321" t="str">
        <f>'建筑工程'!B5</f>
        <v>工程养护</v>
      </c>
      <c r="C6" s="321"/>
      <c r="D6" s="321"/>
      <c r="E6" s="322"/>
      <c r="F6" s="323" t="e">
        <f>SUM(F8:F24)</f>
        <v>#REF!</v>
      </c>
      <c r="G6" s="324"/>
    </row>
    <row r="7" spans="1:7" ht="18.75" customHeight="1">
      <c r="A7" s="321" t="s">
        <v>49</v>
      </c>
      <c r="B7" s="321" t="e">
        <f>建筑工程!#REF!</f>
        <v>#REF!</v>
      </c>
      <c r="C7" s="321"/>
      <c r="D7" s="321"/>
      <c r="E7" s="322"/>
      <c r="F7" s="323"/>
      <c r="G7" s="324"/>
    </row>
    <row r="8" spans="1:7" ht="18.75" customHeight="1">
      <c r="A8" s="321" t="e">
        <f>建筑工程!#REF!</f>
        <v>#REF!</v>
      </c>
      <c r="B8" s="321" t="e">
        <f>建筑工程!#REF!</f>
        <v>#REF!</v>
      </c>
      <c r="C8" s="321" t="e">
        <f>建筑工程!#REF!</f>
        <v>#REF!</v>
      </c>
      <c r="D8" s="321" t="e">
        <f>建筑工程!#REF!</f>
        <v>#REF!</v>
      </c>
      <c r="E8" s="322">
        <f>('混凝土空蚀'!D12+'混凝土空蚀'!D13+'混凝土空蚀'!D14)/100</f>
        <v>0.6779999999999999</v>
      </c>
      <c r="F8" s="323" t="e">
        <f>SUM(F9:F19)</f>
        <v>#REF!</v>
      </c>
      <c r="G8" s="324"/>
    </row>
    <row r="9" spans="1:7" ht="18.75" customHeight="1">
      <c r="A9" s="321"/>
      <c r="B9" s="321" t="str">
        <f>'建筑工程'!B7</f>
        <v>打草</v>
      </c>
      <c r="C9" s="321">
        <f>'建筑工程'!C7</f>
        <v>0</v>
      </c>
      <c r="D9" s="321">
        <f>'建筑工程'!D7</f>
        <v>0</v>
      </c>
      <c r="E9" s="325">
        <f>E8</f>
        <v>0.6779999999999999</v>
      </c>
      <c r="F9" s="323">
        <f aca="true" t="shared" si="0" ref="F9:F24">D9*E9</f>
        <v>0</v>
      </c>
      <c r="G9" s="324"/>
    </row>
    <row r="10" spans="1:7" s="319" customFormat="1" ht="18.75" customHeight="1">
      <c r="A10" s="321"/>
      <c r="B10" s="321" t="e">
        <f>建筑工程!#REF!</f>
        <v>#REF!</v>
      </c>
      <c r="C10" s="321"/>
      <c r="D10" s="321"/>
      <c r="E10" s="326"/>
      <c r="F10" s="323">
        <f t="shared" si="0"/>
        <v>0</v>
      </c>
      <c r="G10" s="324"/>
    </row>
    <row r="11" spans="1:7" s="319" customFormat="1" ht="18.75" customHeight="1">
      <c r="A11" s="321"/>
      <c r="B11" s="321" t="e">
        <f>建筑工程!#REF!</f>
        <v>#REF!</v>
      </c>
      <c r="C11" s="321" t="e">
        <f>建筑工程!#REF!</f>
        <v>#REF!</v>
      </c>
      <c r="D11" s="321" t="e">
        <f>建筑工程!#REF!</f>
        <v>#REF!</v>
      </c>
      <c r="E11" s="326">
        <f>('混凝土1'!D12+'混凝土1'!D13+'混凝土1'!D14+'混凝土1'!D15)/100</f>
        <v>22.14698</v>
      </c>
      <c r="F11" s="323" t="e">
        <f t="shared" si="0"/>
        <v>#REF!</v>
      </c>
      <c r="G11" s="324"/>
    </row>
    <row r="12" spans="1:7" s="319" customFormat="1" ht="18.75" customHeight="1">
      <c r="A12" s="321"/>
      <c r="B12" s="321" t="str">
        <f>'建筑工程'!B18</f>
        <v>十里河水库</v>
      </c>
      <c r="C12" s="321">
        <f>'建筑工程'!C18</f>
        <v>0</v>
      </c>
      <c r="D12" s="321">
        <f>'建筑工程'!D18</f>
        <v>0</v>
      </c>
      <c r="E12" s="326">
        <f>('干砌石护底'!D12+'干砌石护底'!D13+'干砌石护底'!D14)/100</f>
        <v>5.085</v>
      </c>
      <c r="F12" s="323">
        <f t="shared" si="0"/>
        <v>0</v>
      </c>
      <c r="G12" s="324"/>
    </row>
    <row r="13" spans="1:7" s="319" customFormat="1" ht="18.75" customHeight="1">
      <c r="A13" s="321"/>
      <c r="B13" s="321" t="str">
        <f>'建筑工程'!B19</f>
        <v>闸门启闭设备养护</v>
      </c>
      <c r="C13" s="321"/>
      <c r="D13" s="321"/>
      <c r="E13" s="326"/>
      <c r="F13" s="323">
        <f t="shared" si="0"/>
        <v>0</v>
      </c>
      <c r="G13" s="324"/>
    </row>
    <row r="14" spans="1:7" s="319" customFormat="1" ht="18.75" customHeight="1">
      <c r="A14" s="321"/>
      <c r="B14" s="321" t="str">
        <f>'建筑工程'!B20</f>
        <v>闸门启闭设备养护</v>
      </c>
      <c r="C14" s="321" t="str">
        <f>'建筑工程'!C20</f>
        <v>组</v>
      </c>
      <c r="D14" s="321">
        <f>'建筑工程'!D20</f>
        <v>1</v>
      </c>
      <c r="E14" s="326">
        <f>('干砌石护坡'!D12+'干砌石护坡'!D13+'干砌石护坡'!D14)/100</f>
        <v>5.847</v>
      </c>
      <c r="F14" s="323">
        <f t="shared" si="0"/>
        <v>5.847</v>
      </c>
      <c r="G14" s="324"/>
    </row>
    <row r="15" spans="1:7" s="319" customFormat="1" ht="18.75" customHeight="1">
      <c r="A15" s="321"/>
      <c r="B15" s="321" t="str">
        <f>'建筑工程'!B21</f>
        <v>打草</v>
      </c>
      <c r="C15" s="321">
        <f>'建筑工程'!C21</f>
        <v>0</v>
      </c>
      <c r="D15" s="321">
        <f>'建筑工程'!D21</f>
        <v>0</v>
      </c>
      <c r="E15" s="326" t="e">
        <f>(#REF!)/100</f>
        <v>#REF!</v>
      </c>
      <c r="F15" s="323" t="e">
        <f t="shared" si="0"/>
        <v>#REF!</v>
      </c>
      <c r="G15" s="324"/>
    </row>
    <row r="16" spans="1:7" s="319" customFormat="1" ht="18.75" customHeight="1">
      <c r="A16" s="321"/>
      <c r="B16" s="321" t="str">
        <f>'建筑工程'!B22</f>
        <v>杂草修剪（三遍）</v>
      </c>
      <c r="C16" s="321"/>
      <c r="D16" s="321"/>
      <c r="E16" s="326"/>
      <c r="F16" s="323">
        <f t="shared" si="0"/>
        <v>0</v>
      </c>
      <c r="G16" s="324"/>
    </row>
    <row r="17" spans="1:7" s="319" customFormat="1" ht="18.75" customHeight="1">
      <c r="A17" s="321"/>
      <c r="B17" s="321" t="str">
        <f>'建筑工程'!B24</f>
        <v>阿凌达湖水库</v>
      </c>
      <c r="C17" s="321">
        <f>'建筑工程'!C24</f>
        <v>0</v>
      </c>
      <c r="D17" s="321">
        <f>'建筑工程'!D24</f>
        <v>0</v>
      </c>
      <c r="E17" s="326"/>
      <c r="F17" s="323">
        <f t="shared" si="0"/>
        <v>0</v>
      </c>
      <c r="G17" s="324"/>
    </row>
    <row r="18" spans="1:7" s="319" customFormat="1" ht="18.75" customHeight="1">
      <c r="A18" s="321"/>
      <c r="B18" s="321" t="str">
        <f>'建筑工程'!B25</f>
        <v>闸门启闭设备养护</v>
      </c>
      <c r="C18" s="321">
        <f>'建筑工程'!C25</f>
        <v>0</v>
      </c>
      <c r="D18" s="321">
        <f>'建筑工程'!D25</f>
        <v>0</v>
      </c>
      <c r="E18" s="326"/>
      <c r="F18" s="323">
        <f t="shared" si="0"/>
        <v>0</v>
      </c>
      <c r="G18" s="324"/>
    </row>
    <row r="19" spans="1:7" s="319" customFormat="1" ht="18.75" customHeight="1">
      <c r="A19" s="321"/>
      <c r="B19" s="321" t="str">
        <f>'建筑工程'!B26</f>
        <v>闸门启闭设备养护</v>
      </c>
      <c r="C19" s="321" t="str">
        <f>'建筑工程'!C26</f>
        <v>组</v>
      </c>
      <c r="D19" s="321">
        <f>'建筑工程'!D26</f>
        <v>1</v>
      </c>
      <c r="E19" s="326"/>
      <c r="F19" s="323">
        <f t="shared" si="0"/>
        <v>0</v>
      </c>
      <c r="G19" s="324"/>
    </row>
    <row r="20" spans="1:7" s="319" customFormat="1" ht="18.75" customHeight="1">
      <c r="A20" s="321">
        <f>'建筑工程'!A22</f>
        <v>1</v>
      </c>
      <c r="B20" s="321" t="str">
        <f>'建筑工程'!B27</f>
        <v>打草</v>
      </c>
      <c r="C20" s="321"/>
      <c r="D20" s="321"/>
      <c r="E20" s="326"/>
      <c r="F20" s="323" t="e">
        <f>SUM(F21:F24)</f>
        <v>#REF!</v>
      </c>
      <c r="G20" s="324"/>
    </row>
    <row r="21" spans="1:7" s="319" customFormat="1" ht="18.75" customHeight="1">
      <c r="A21" s="321"/>
      <c r="B21" s="321" t="str">
        <f>'建筑工程'!B28</f>
        <v>杂草修剪（三遍）</v>
      </c>
      <c r="C21" s="321" t="str">
        <f>'建筑工程'!C28</f>
        <v>m2</v>
      </c>
      <c r="D21" s="321">
        <f>'建筑工程'!D28</f>
        <v>6990</v>
      </c>
      <c r="E21" s="326"/>
      <c r="F21" s="323">
        <f t="shared" si="0"/>
        <v>0</v>
      </c>
      <c r="G21" s="324"/>
    </row>
    <row r="22" spans="1:7" s="319" customFormat="1" ht="18.75" customHeight="1">
      <c r="A22" s="321"/>
      <c r="B22" s="321" t="e">
        <f>建筑工程!#REF!</f>
        <v>#REF!</v>
      </c>
      <c r="C22" s="321" t="e">
        <f>建筑工程!#REF!</f>
        <v>#REF!</v>
      </c>
      <c r="D22" s="321" t="e">
        <f>建筑工程!#REF!</f>
        <v>#REF!</v>
      </c>
      <c r="E22" s="326"/>
      <c r="F22" s="323" t="e">
        <f t="shared" si="0"/>
        <v>#REF!</v>
      </c>
      <c r="G22" s="324"/>
    </row>
    <row r="23" spans="1:7" s="319" customFormat="1" ht="18.75" customHeight="1">
      <c r="A23" s="321"/>
      <c r="B23" s="321" t="str">
        <f>'建筑工程'!B30</f>
        <v>都柿沟水库</v>
      </c>
      <c r="C23" s="321">
        <f>'建筑工程'!C30</f>
        <v>0</v>
      </c>
      <c r="D23" s="321">
        <f>'建筑工程'!D30</f>
        <v>0</v>
      </c>
      <c r="E23" s="326"/>
      <c r="F23" s="323">
        <f t="shared" si="0"/>
        <v>0</v>
      </c>
      <c r="G23" s="324"/>
    </row>
    <row r="24" spans="1:7" s="319" customFormat="1" ht="18.75" customHeight="1">
      <c r="A24" s="321"/>
      <c r="B24" s="321" t="str">
        <f>'建筑工程'!B31</f>
        <v>闸门启闭设备养护</v>
      </c>
      <c r="C24" s="321">
        <f>'建筑工程'!C31</f>
        <v>0</v>
      </c>
      <c r="D24" s="321">
        <f>'建筑工程'!D31</f>
        <v>0</v>
      </c>
      <c r="E24" s="326"/>
      <c r="F24" s="323">
        <f t="shared" si="0"/>
        <v>0</v>
      </c>
      <c r="G24" s="324"/>
    </row>
    <row r="25" spans="1:7" s="319" customFormat="1" ht="18.75" customHeight="1" hidden="1">
      <c r="A25" s="321"/>
      <c r="B25" s="321"/>
      <c r="C25" s="321"/>
      <c r="D25" s="321"/>
      <c r="E25" s="326"/>
      <c r="F25" s="323"/>
      <c r="G25" s="324"/>
    </row>
    <row r="26" spans="1:7" s="319" customFormat="1" ht="18.75" customHeight="1" hidden="1">
      <c r="A26" s="321"/>
      <c r="B26" s="321"/>
      <c r="C26" s="321"/>
      <c r="D26" s="321"/>
      <c r="E26" s="326"/>
      <c r="F26" s="323"/>
      <c r="G26" s="324"/>
    </row>
    <row r="27" spans="1:7" s="319" customFormat="1" ht="18.75" customHeight="1" hidden="1">
      <c r="A27" s="321"/>
      <c r="B27" s="321"/>
      <c r="C27" s="321"/>
      <c r="D27" s="321"/>
      <c r="E27" s="325"/>
      <c r="F27" s="323"/>
      <c r="G27" s="324"/>
    </row>
    <row r="28" spans="1:7" s="319" customFormat="1" ht="18.75" customHeight="1" hidden="1">
      <c r="A28" s="321"/>
      <c r="B28" s="321"/>
      <c r="C28" s="321"/>
      <c r="D28" s="321"/>
      <c r="E28" s="325"/>
      <c r="F28" s="323"/>
      <c r="G28" s="324"/>
    </row>
    <row r="29" spans="1:7" s="319" customFormat="1" ht="18.75" customHeight="1" hidden="1">
      <c r="A29" s="321"/>
      <c r="B29" s="321"/>
      <c r="C29" s="321"/>
      <c r="D29" s="321"/>
      <c r="E29" s="326"/>
      <c r="F29" s="323"/>
      <c r="G29" s="324"/>
    </row>
    <row r="30" spans="1:7" s="319" customFormat="1" ht="18.75" customHeight="1" hidden="1">
      <c r="A30" s="321"/>
      <c r="B30" s="321"/>
      <c r="C30" s="321"/>
      <c r="D30" s="321"/>
      <c r="E30" s="326"/>
      <c r="F30" s="323"/>
      <c r="G30" s="324"/>
    </row>
    <row r="31" spans="1:7" s="319" customFormat="1" ht="18.75" customHeight="1" hidden="1">
      <c r="A31" s="321"/>
      <c r="B31" s="321"/>
      <c r="C31" s="321"/>
      <c r="D31" s="321"/>
      <c r="E31" s="325"/>
      <c r="F31" s="323"/>
      <c r="G31" s="324"/>
    </row>
    <row r="32" spans="1:7" s="319" customFormat="1" ht="18.75" customHeight="1" hidden="1">
      <c r="A32" s="321"/>
      <c r="B32" s="321"/>
      <c r="C32" s="321"/>
      <c r="D32" s="321"/>
      <c r="E32" s="322"/>
      <c r="F32" s="323"/>
      <c r="G32" s="324"/>
    </row>
    <row r="33" spans="1:7" s="319" customFormat="1" ht="18.75" customHeight="1" hidden="1">
      <c r="A33" s="321"/>
      <c r="B33" s="321"/>
      <c r="C33" s="321"/>
      <c r="D33" s="321"/>
      <c r="E33" s="325"/>
      <c r="F33" s="323"/>
      <c r="G33" s="324"/>
    </row>
    <row r="34" spans="1:7" s="319" customFormat="1" ht="18.75" customHeight="1" hidden="1">
      <c r="A34" s="321"/>
      <c r="B34" s="321"/>
      <c r="C34" s="321"/>
      <c r="D34" s="321"/>
      <c r="E34" s="326"/>
      <c r="F34" s="323"/>
      <c r="G34" s="324"/>
    </row>
    <row r="35" spans="1:7" s="319" customFormat="1" ht="18.75" customHeight="1">
      <c r="A35" s="321"/>
      <c r="B35" s="321"/>
      <c r="C35" s="321"/>
      <c r="D35" s="321"/>
      <c r="E35" s="322"/>
      <c r="F35" s="323"/>
      <c r="G35" s="324"/>
    </row>
    <row r="36" spans="1:7" s="319" customFormat="1" ht="18.75" customHeight="1" hidden="1">
      <c r="A36" s="321"/>
      <c r="B36" s="321"/>
      <c r="C36" s="321"/>
      <c r="D36" s="321"/>
      <c r="E36" s="325"/>
      <c r="F36" s="323"/>
      <c r="G36" s="324"/>
    </row>
    <row r="37" spans="1:7" s="319" customFormat="1" ht="18.75" customHeight="1" hidden="1">
      <c r="A37" s="321"/>
      <c r="B37" s="321"/>
      <c r="C37" s="321"/>
      <c r="D37" s="321"/>
      <c r="E37" s="325"/>
      <c r="F37" s="323"/>
      <c r="G37" s="324"/>
    </row>
    <row r="38" spans="1:7" s="319" customFormat="1" ht="18.75" customHeight="1" hidden="1">
      <c r="A38" s="321"/>
      <c r="B38" s="321"/>
      <c r="C38" s="321"/>
      <c r="D38" s="321"/>
      <c r="E38" s="325"/>
      <c r="F38" s="323"/>
      <c r="G38" s="324"/>
    </row>
    <row r="39" spans="1:7" s="319" customFormat="1" ht="18.75" customHeight="1" hidden="1">
      <c r="A39" s="321"/>
      <c r="B39" s="321"/>
      <c r="C39" s="321"/>
      <c r="D39" s="321"/>
      <c r="E39" s="325"/>
      <c r="F39" s="323"/>
      <c r="G39" s="324"/>
    </row>
    <row r="40" spans="1:7" s="319" customFormat="1" ht="18.75" customHeight="1" hidden="1">
      <c r="A40" s="321"/>
      <c r="B40" s="321"/>
      <c r="C40" s="321"/>
      <c r="D40" s="321"/>
      <c r="E40" s="325"/>
      <c r="F40" s="323"/>
      <c r="G40" s="324"/>
    </row>
    <row r="41" spans="1:7" s="319" customFormat="1" ht="18.75" customHeight="1" hidden="1">
      <c r="A41" s="321"/>
      <c r="B41" s="321"/>
      <c r="C41" s="321"/>
      <c r="D41" s="321"/>
      <c r="E41" s="325"/>
      <c r="F41" s="323"/>
      <c r="G41" s="324"/>
    </row>
    <row r="42" spans="1:7" s="319" customFormat="1" ht="18.75" customHeight="1" hidden="1">
      <c r="A42" s="321"/>
      <c r="B42" s="321"/>
      <c r="C42" s="321"/>
      <c r="D42" s="321"/>
      <c r="E42" s="325"/>
      <c r="F42" s="323"/>
      <c r="G42" s="324"/>
    </row>
    <row r="43" spans="1:7" s="319" customFormat="1" ht="18.75" customHeight="1" hidden="1">
      <c r="A43" s="321"/>
      <c r="B43" s="321"/>
      <c r="C43" s="321"/>
      <c r="D43" s="321"/>
      <c r="E43" s="325"/>
      <c r="F43" s="323"/>
      <c r="G43" s="324"/>
    </row>
    <row r="44" spans="1:7" s="319" customFormat="1" ht="18.75" customHeight="1" hidden="1">
      <c r="A44" s="321"/>
      <c r="B44" s="321"/>
      <c r="C44" s="321"/>
      <c r="D44" s="321"/>
      <c r="E44" s="325"/>
      <c r="F44" s="323"/>
      <c r="G44" s="324"/>
    </row>
    <row r="45" spans="1:7" s="319" customFormat="1" ht="18.75" customHeight="1" hidden="1">
      <c r="A45" s="321"/>
      <c r="B45" s="321"/>
      <c r="C45" s="321"/>
      <c r="D45" s="321"/>
      <c r="E45" s="325"/>
      <c r="F45" s="323"/>
      <c r="G45" s="324"/>
    </row>
    <row r="46" spans="1:7" s="319" customFormat="1" ht="18.75" customHeight="1" hidden="1">
      <c r="A46" s="321"/>
      <c r="B46" s="321"/>
      <c r="C46" s="321"/>
      <c r="D46" s="321"/>
      <c r="E46" s="325"/>
      <c r="F46" s="323"/>
      <c r="G46" s="324"/>
    </row>
    <row r="47" spans="1:7" s="319" customFormat="1" ht="18.75" customHeight="1">
      <c r="A47" s="321"/>
      <c r="B47" s="321"/>
      <c r="C47" s="321"/>
      <c r="D47" s="321"/>
      <c r="E47" s="322"/>
      <c r="F47" s="323"/>
      <c r="G47" s="324"/>
    </row>
    <row r="48" spans="1:7" s="319" customFormat="1" ht="18.75" customHeight="1">
      <c r="A48" s="321"/>
      <c r="B48" s="321"/>
      <c r="C48" s="321"/>
      <c r="D48" s="321"/>
      <c r="E48" s="326"/>
      <c r="F48" s="323"/>
      <c r="G48" s="324"/>
    </row>
    <row r="49" spans="1:7" ht="18.75" customHeight="1" hidden="1">
      <c r="A49" s="320"/>
      <c r="B49" s="321"/>
      <c r="C49" s="321"/>
      <c r="D49" s="321"/>
      <c r="E49" s="326"/>
      <c r="F49" s="323"/>
      <c r="G49" s="324"/>
    </row>
    <row r="50" spans="1:7" ht="18.75" customHeight="1" hidden="1">
      <c r="A50" s="320"/>
      <c r="B50" s="321"/>
      <c r="C50" s="321"/>
      <c r="D50" s="321"/>
      <c r="E50" s="326"/>
      <c r="F50" s="323"/>
      <c r="G50" s="324"/>
    </row>
    <row r="51" spans="1:7" ht="18.75" customHeight="1" hidden="1">
      <c r="A51" s="320"/>
      <c r="B51" s="321"/>
      <c r="C51" s="321"/>
      <c r="D51" s="321"/>
      <c r="E51" s="326"/>
      <c r="F51" s="323"/>
      <c r="G51" s="324"/>
    </row>
    <row r="52" spans="1:7" ht="18.75" customHeight="1" hidden="1">
      <c r="A52" s="320"/>
      <c r="B52" s="321"/>
      <c r="C52" s="321"/>
      <c r="D52" s="321"/>
      <c r="E52" s="326"/>
      <c r="F52" s="323"/>
      <c r="G52" s="324"/>
    </row>
    <row r="53" spans="1:7" ht="18.75" customHeight="1" hidden="1">
      <c r="A53" s="320"/>
      <c r="B53" s="321"/>
      <c r="C53" s="321"/>
      <c r="D53" s="321"/>
      <c r="E53" s="326"/>
      <c r="F53" s="323"/>
      <c r="G53" s="324"/>
    </row>
    <row r="54" spans="1:7" s="319" customFormat="1" ht="18.75" customHeight="1" hidden="1">
      <c r="A54" s="320"/>
      <c r="B54" s="321"/>
      <c r="C54" s="321"/>
      <c r="D54" s="321"/>
      <c r="E54" s="327"/>
      <c r="F54" s="323"/>
      <c r="G54" s="324"/>
    </row>
    <row r="55" spans="1:7" s="319" customFormat="1" ht="18.75" customHeight="1" hidden="1">
      <c r="A55" s="320"/>
      <c r="B55" s="321"/>
      <c r="C55" s="321"/>
      <c r="D55" s="321"/>
      <c r="E55" s="327"/>
      <c r="F55" s="323"/>
      <c r="G55" s="324"/>
    </row>
    <row r="56" spans="1:7" s="319" customFormat="1" ht="18.75" customHeight="1" hidden="1">
      <c r="A56" s="320"/>
      <c r="B56" s="321"/>
      <c r="C56" s="321"/>
      <c r="D56" s="321"/>
      <c r="E56" s="327"/>
      <c r="F56" s="323"/>
      <c r="G56" s="324"/>
    </row>
    <row r="57" spans="1:7" s="319" customFormat="1" ht="18.75" customHeight="1" hidden="1">
      <c r="A57" s="320"/>
      <c r="B57" s="321"/>
      <c r="C57" s="321"/>
      <c r="D57" s="321"/>
      <c r="E57" s="327"/>
      <c r="F57" s="323"/>
      <c r="G57" s="324"/>
    </row>
    <row r="58" spans="1:7" s="319" customFormat="1" ht="18.75" customHeight="1" hidden="1">
      <c r="A58" s="320"/>
      <c r="B58" s="321"/>
      <c r="C58" s="321"/>
      <c r="D58" s="321"/>
      <c r="E58" s="327"/>
      <c r="F58" s="323"/>
      <c r="G58" s="324"/>
    </row>
    <row r="59" spans="1:7" s="319" customFormat="1" ht="18.75" customHeight="1" hidden="1">
      <c r="A59" s="320"/>
      <c r="B59" s="321"/>
      <c r="C59" s="321"/>
      <c r="D59" s="321"/>
      <c r="E59" s="327"/>
      <c r="F59" s="323"/>
      <c r="G59" s="324"/>
    </row>
    <row r="60" spans="1:7" s="319" customFormat="1" ht="18.75" customHeight="1" hidden="1">
      <c r="A60" s="320"/>
      <c r="B60" s="321"/>
      <c r="C60" s="321"/>
      <c r="D60" s="321"/>
      <c r="E60" s="327"/>
      <c r="F60" s="323"/>
      <c r="G60" s="324"/>
    </row>
    <row r="61" spans="1:7" s="319" customFormat="1" ht="18.75" customHeight="1" hidden="1">
      <c r="A61" s="320"/>
      <c r="B61" s="321"/>
      <c r="C61" s="321"/>
      <c r="D61" s="321"/>
      <c r="E61" s="327"/>
      <c r="F61" s="323"/>
      <c r="G61" s="324"/>
    </row>
    <row r="62" spans="1:7" s="319" customFormat="1" ht="18.75" customHeight="1" hidden="1">
      <c r="A62" s="320"/>
      <c r="B62" s="321"/>
      <c r="C62" s="321"/>
      <c r="D62" s="321"/>
      <c r="E62" s="327"/>
      <c r="F62" s="323"/>
      <c r="G62" s="324"/>
    </row>
    <row r="63" spans="1:7" s="319" customFormat="1" ht="18.75" customHeight="1">
      <c r="A63" s="321"/>
      <c r="B63" s="321"/>
      <c r="C63" s="321"/>
      <c r="D63" s="321"/>
      <c r="E63" s="327"/>
      <c r="F63" s="323"/>
      <c r="G63" s="324"/>
    </row>
    <row r="64" spans="1:7" s="319" customFormat="1" ht="18.75" customHeight="1" hidden="1">
      <c r="A64" s="321"/>
      <c r="B64" s="321"/>
      <c r="C64" s="321"/>
      <c r="D64" s="321"/>
      <c r="E64" s="327"/>
      <c r="F64" s="323"/>
      <c r="G64" s="324"/>
    </row>
    <row r="65" spans="1:7" s="319" customFormat="1" ht="18.75" customHeight="1" hidden="1">
      <c r="A65" s="321"/>
      <c r="B65" s="321"/>
      <c r="C65" s="321"/>
      <c r="D65" s="321"/>
      <c r="E65" s="327"/>
      <c r="F65" s="323"/>
      <c r="G65" s="324"/>
    </row>
    <row r="66" spans="1:7" s="319" customFormat="1" ht="18.75" customHeight="1" hidden="1">
      <c r="A66" s="320"/>
      <c r="B66" s="321"/>
      <c r="C66" s="321"/>
      <c r="D66" s="321"/>
      <c r="E66" s="327"/>
      <c r="F66" s="323"/>
      <c r="G66" s="324"/>
    </row>
    <row r="67" spans="1:7" s="319" customFormat="1" ht="18.75" customHeight="1" hidden="1">
      <c r="A67" s="320"/>
      <c r="B67" s="321"/>
      <c r="C67" s="321"/>
      <c r="D67" s="321"/>
      <c r="E67" s="327"/>
      <c r="F67" s="323"/>
      <c r="G67" s="324"/>
    </row>
    <row r="68" spans="1:7" s="319" customFormat="1" ht="18.75" customHeight="1" hidden="1">
      <c r="A68" s="320"/>
      <c r="B68" s="321"/>
      <c r="C68" s="321"/>
      <c r="D68" s="321"/>
      <c r="E68" s="327"/>
      <c r="F68" s="323"/>
      <c r="G68" s="324"/>
    </row>
    <row r="69" spans="1:7" s="319" customFormat="1" ht="18.75" customHeight="1" hidden="1">
      <c r="A69" s="320"/>
      <c r="B69" s="321"/>
      <c r="C69" s="321"/>
      <c r="D69" s="321"/>
      <c r="E69" s="327"/>
      <c r="F69" s="323"/>
      <c r="G69" s="324"/>
    </row>
    <row r="70" spans="1:7" s="319" customFormat="1" ht="18.75" customHeight="1" hidden="1">
      <c r="A70" s="320"/>
      <c r="B70" s="321"/>
      <c r="C70" s="321"/>
      <c r="D70" s="321"/>
      <c r="E70" s="327"/>
      <c r="F70" s="323"/>
      <c r="G70" s="324"/>
    </row>
    <row r="71" spans="1:7" s="319" customFormat="1" ht="18.75" customHeight="1" hidden="1">
      <c r="A71" s="320"/>
      <c r="B71" s="321"/>
      <c r="C71" s="321"/>
      <c r="D71" s="321"/>
      <c r="E71" s="327"/>
      <c r="F71" s="323"/>
      <c r="G71" s="324"/>
    </row>
    <row r="72" spans="1:7" s="319" customFormat="1" ht="18.75" customHeight="1" hidden="1">
      <c r="A72" s="320"/>
      <c r="B72" s="321"/>
      <c r="C72" s="321"/>
      <c r="D72" s="321"/>
      <c r="E72" s="327"/>
      <c r="F72" s="323"/>
      <c r="G72" s="324"/>
    </row>
    <row r="73" spans="1:7" s="319" customFormat="1" ht="18.75" customHeight="1" hidden="1">
      <c r="A73" s="320"/>
      <c r="B73" s="321"/>
      <c r="C73" s="321"/>
      <c r="D73" s="321"/>
      <c r="E73" s="327"/>
      <c r="F73" s="323"/>
      <c r="G73" s="324"/>
    </row>
    <row r="74" spans="1:7" s="319" customFormat="1" ht="18.75" customHeight="1" hidden="1">
      <c r="A74" s="320"/>
      <c r="B74" s="321"/>
      <c r="C74" s="321"/>
      <c r="D74" s="321"/>
      <c r="E74" s="325"/>
      <c r="F74" s="323"/>
      <c r="G74" s="324"/>
    </row>
    <row r="75" spans="1:7" s="319" customFormat="1" ht="18.75" customHeight="1" hidden="1">
      <c r="A75" s="320"/>
      <c r="B75" s="321"/>
      <c r="C75" s="321"/>
      <c r="D75" s="321"/>
      <c r="E75" s="325"/>
      <c r="F75" s="323"/>
      <c r="G75" s="324"/>
    </row>
    <row r="76" spans="1:7" s="319" customFormat="1" ht="18.75" customHeight="1" hidden="1">
      <c r="A76" s="320"/>
      <c r="B76" s="321"/>
      <c r="C76" s="321"/>
      <c r="D76" s="321"/>
      <c r="E76" s="327"/>
      <c r="F76" s="323"/>
      <c r="G76" s="324"/>
    </row>
    <row r="77" spans="1:7" s="319" customFormat="1" ht="18.75" customHeight="1" hidden="1">
      <c r="A77" s="320"/>
      <c r="B77" s="321"/>
      <c r="C77" s="321"/>
      <c r="D77" s="321"/>
      <c r="E77" s="327"/>
      <c r="F77" s="323"/>
      <c r="G77" s="324"/>
    </row>
    <row r="78" spans="1:7" s="319" customFormat="1" ht="18.75" customHeight="1">
      <c r="A78" s="321"/>
      <c r="B78" s="321"/>
      <c r="C78" s="321"/>
      <c r="D78" s="321"/>
      <c r="E78" s="327"/>
      <c r="F78" s="323"/>
      <c r="G78" s="324"/>
    </row>
    <row r="79" spans="1:7" s="319" customFormat="1" ht="18.75" customHeight="1">
      <c r="A79" s="321"/>
      <c r="B79" s="321"/>
      <c r="C79" s="321"/>
      <c r="D79" s="321"/>
      <c r="E79" s="327"/>
      <c r="F79" s="323"/>
      <c r="G79" s="324"/>
    </row>
    <row r="80" spans="1:7" s="319" customFormat="1" ht="18.75" customHeight="1" hidden="1">
      <c r="A80" s="320"/>
      <c r="B80" s="321"/>
      <c r="C80" s="321"/>
      <c r="D80" s="321"/>
      <c r="E80" s="327"/>
      <c r="F80" s="323"/>
      <c r="G80" s="324"/>
    </row>
    <row r="81" spans="1:7" s="319" customFormat="1" ht="18.75" customHeight="1" hidden="1">
      <c r="A81" s="320"/>
      <c r="B81" s="321"/>
      <c r="C81" s="321"/>
      <c r="D81" s="321"/>
      <c r="E81" s="327"/>
      <c r="F81" s="323"/>
      <c r="G81" s="324"/>
    </row>
    <row r="82" spans="1:7" s="319" customFormat="1" ht="18.75" customHeight="1" hidden="1">
      <c r="A82" s="320"/>
      <c r="B82" s="321"/>
      <c r="C82" s="321"/>
      <c r="D82" s="321"/>
      <c r="E82" s="327"/>
      <c r="F82" s="323"/>
      <c r="G82" s="324"/>
    </row>
    <row r="83" spans="1:7" s="319" customFormat="1" ht="18.75" customHeight="1" hidden="1">
      <c r="A83" s="320"/>
      <c r="B83" s="321"/>
      <c r="C83" s="321"/>
      <c r="D83" s="321"/>
      <c r="E83" s="327"/>
      <c r="F83" s="323"/>
      <c r="G83" s="324"/>
    </row>
    <row r="84" spans="1:7" s="319" customFormat="1" ht="18.75" customHeight="1" hidden="1">
      <c r="A84" s="320"/>
      <c r="B84" s="321"/>
      <c r="C84" s="321"/>
      <c r="D84" s="321"/>
      <c r="E84" s="327"/>
      <c r="F84" s="323"/>
      <c r="G84" s="324"/>
    </row>
    <row r="85" spans="1:7" s="319" customFormat="1" ht="18.75" customHeight="1" hidden="1">
      <c r="A85" s="320"/>
      <c r="B85" s="321"/>
      <c r="C85" s="321"/>
      <c r="D85" s="321"/>
      <c r="E85" s="327"/>
      <c r="F85" s="323"/>
      <c r="G85" s="324"/>
    </row>
    <row r="86" spans="1:7" s="319" customFormat="1" ht="18.75" customHeight="1" hidden="1">
      <c r="A86" s="320"/>
      <c r="B86" s="321"/>
      <c r="C86" s="321"/>
      <c r="D86" s="321"/>
      <c r="E86" s="327"/>
      <c r="F86" s="323"/>
      <c r="G86" s="324"/>
    </row>
    <row r="87" spans="1:7" s="319" customFormat="1" ht="18.75" customHeight="1" hidden="1">
      <c r="A87" s="320"/>
      <c r="B87" s="321"/>
      <c r="C87" s="321"/>
      <c r="D87" s="321"/>
      <c r="E87" s="327"/>
      <c r="F87" s="323"/>
      <c r="G87" s="324"/>
    </row>
    <row r="88" spans="1:7" s="319" customFormat="1" ht="18.75" customHeight="1" hidden="1">
      <c r="A88" s="320"/>
      <c r="B88" s="321"/>
      <c r="C88" s="321"/>
      <c r="D88" s="321"/>
      <c r="E88" s="327"/>
      <c r="F88" s="323"/>
      <c r="G88" s="324"/>
    </row>
    <row r="89" spans="1:7" s="319" customFormat="1" ht="18.75" customHeight="1" hidden="1">
      <c r="A89" s="320"/>
      <c r="B89" s="321"/>
      <c r="C89" s="321"/>
      <c r="D89" s="321"/>
      <c r="E89" s="327"/>
      <c r="F89" s="323"/>
      <c r="G89" s="324"/>
    </row>
    <row r="90" spans="1:7" s="319" customFormat="1" ht="18.75" customHeight="1">
      <c r="A90" s="321"/>
      <c r="B90" s="321"/>
      <c r="C90" s="321"/>
      <c r="D90" s="321"/>
      <c r="E90" s="327"/>
      <c r="F90" s="323"/>
      <c r="G90" s="324"/>
    </row>
    <row r="91" spans="1:7" s="319" customFormat="1" ht="18.75" customHeight="1" hidden="1">
      <c r="A91" s="320"/>
      <c r="B91" s="321"/>
      <c r="C91" s="321"/>
      <c r="D91" s="321"/>
      <c r="E91" s="327"/>
      <c r="F91" s="323"/>
      <c r="G91" s="324"/>
    </row>
    <row r="92" spans="1:7" s="319" customFormat="1" ht="18.75" customHeight="1" hidden="1">
      <c r="A92" s="320"/>
      <c r="B92" s="321"/>
      <c r="C92" s="321"/>
      <c r="D92" s="321"/>
      <c r="E92" s="327"/>
      <c r="F92" s="323"/>
      <c r="G92" s="324"/>
    </row>
    <row r="93" spans="1:7" s="319" customFormat="1" ht="18.75" customHeight="1" hidden="1">
      <c r="A93" s="320"/>
      <c r="B93" s="321"/>
      <c r="C93" s="321"/>
      <c r="D93" s="321"/>
      <c r="E93" s="327"/>
      <c r="F93" s="323"/>
      <c r="G93" s="324"/>
    </row>
    <row r="94" spans="1:7" s="319" customFormat="1" ht="18.75" customHeight="1" hidden="1">
      <c r="A94" s="320"/>
      <c r="B94" s="321"/>
      <c r="C94" s="321"/>
      <c r="D94" s="321"/>
      <c r="E94" s="327"/>
      <c r="F94" s="323"/>
      <c r="G94" s="324"/>
    </row>
    <row r="95" spans="1:7" s="319" customFormat="1" ht="18.75" customHeight="1" hidden="1">
      <c r="A95" s="320"/>
      <c r="B95" s="321"/>
      <c r="C95" s="321"/>
      <c r="D95" s="321"/>
      <c r="E95" s="327"/>
      <c r="F95" s="323"/>
      <c r="G95" s="324"/>
    </row>
    <row r="96" spans="1:7" s="319" customFormat="1" ht="18.75" customHeight="1" hidden="1">
      <c r="A96" s="320"/>
      <c r="B96" s="321"/>
      <c r="C96" s="321"/>
      <c r="D96" s="321"/>
      <c r="E96" s="327"/>
      <c r="F96" s="323"/>
      <c r="G96" s="324"/>
    </row>
    <row r="97" spans="1:7" s="319" customFormat="1" ht="18.75" customHeight="1" hidden="1">
      <c r="A97" s="320"/>
      <c r="B97" s="321"/>
      <c r="C97" s="321"/>
      <c r="D97" s="321"/>
      <c r="E97" s="327"/>
      <c r="F97" s="323"/>
      <c r="G97" s="324"/>
    </row>
    <row r="98" spans="1:7" s="319" customFormat="1" ht="18.75" customHeight="1" hidden="1">
      <c r="A98" s="320"/>
      <c r="B98" s="321"/>
      <c r="C98" s="321"/>
      <c r="D98" s="321"/>
      <c r="E98" s="327"/>
      <c r="F98" s="323"/>
      <c r="G98" s="324"/>
    </row>
    <row r="99" spans="1:7" s="319" customFormat="1" ht="18.75" customHeight="1" hidden="1">
      <c r="A99" s="320"/>
      <c r="B99" s="321"/>
      <c r="C99" s="321"/>
      <c r="D99" s="321"/>
      <c r="E99" s="327"/>
      <c r="F99" s="323"/>
      <c r="G99" s="324"/>
    </row>
    <row r="100" spans="1:7" s="319" customFormat="1" ht="18.75" customHeight="1" hidden="1">
      <c r="A100" s="320"/>
      <c r="B100" s="321"/>
      <c r="C100" s="321"/>
      <c r="D100" s="321"/>
      <c r="E100" s="327"/>
      <c r="F100" s="323"/>
      <c r="G100" s="324"/>
    </row>
    <row r="101" spans="1:7" s="319" customFormat="1" ht="18.75" customHeight="1">
      <c r="A101" s="321"/>
      <c r="B101" s="321"/>
      <c r="C101" s="321"/>
      <c r="D101" s="321"/>
      <c r="E101" s="327"/>
      <c r="F101" s="323"/>
      <c r="G101" s="324"/>
    </row>
    <row r="102" spans="1:7" s="319" customFormat="1" ht="18.75" customHeight="1" hidden="1">
      <c r="A102" s="320"/>
      <c r="B102" s="321"/>
      <c r="C102" s="328"/>
      <c r="D102" s="329"/>
      <c r="E102" s="327"/>
      <c r="F102" s="323"/>
      <c r="G102" s="324"/>
    </row>
    <row r="103" spans="1:7" s="319" customFormat="1" ht="18.75" customHeight="1" hidden="1">
      <c r="A103" s="320"/>
      <c r="B103" s="321"/>
      <c r="C103" s="328"/>
      <c r="D103" s="329"/>
      <c r="E103" s="327"/>
      <c r="F103" s="323"/>
      <c r="G103" s="324"/>
    </row>
    <row r="104" spans="1:7" s="319" customFormat="1" ht="18.75" customHeight="1" hidden="1">
      <c r="A104" s="320"/>
      <c r="B104" s="321"/>
      <c r="C104" s="328"/>
      <c r="D104" s="329"/>
      <c r="E104" s="327"/>
      <c r="F104" s="323"/>
      <c r="G104" s="324"/>
    </row>
    <row r="105" spans="1:7" s="319" customFormat="1" ht="18.75" customHeight="1" hidden="1">
      <c r="A105" s="320"/>
      <c r="B105" s="321"/>
      <c r="C105" s="328"/>
      <c r="D105" s="329"/>
      <c r="E105" s="327"/>
      <c r="F105" s="323"/>
      <c r="G105" s="324"/>
    </row>
    <row r="106" spans="1:7" s="319" customFormat="1" ht="18.75" customHeight="1" hidden="1">
      <c r="A106" s="320"/>
      <c r="B106" s="321"/>
      <c r="C106" s="328"/>
      <c r="D106" s="329"/>
      <c r="E106" s="327"/>
      <c r="F106" s="323"/>
      <c r="G106" s="324"/>
    </row>
    <row r="107" spans="1:7" s="319" customFormat="1" ht="18.75" customHeight="1" hidden="1">
      <c r="A107" s="320"/>
      <c r="B107" s="321"/>
      <c r="C107" s="328"/>
      <c r="D107" s="329"/>
      <c r="E107" s="327"/>
      <c r="F107" s="323"/>
      <c r="G107" s="324"/>
    </row>
    <row r="108" spans="1:7" s="319" customFormat="1" ht="18.75" customHeight="1" hidden="1">
      <c r="A108" s="320"/>
      <c r="B108" s="321"/>
      <c r="C108" s="328"/>
      <c r="D108" s="329"/>
      <c r="E108" s="327"/>
      <c r="F108" s="323"/>
      <c r="G108" s="324"/>
    </row>
    <row r="109" spans="1:7" s="319" customFormat="1" ht="18.75" customHeight="1" hidden="1">
      <c r="A109" s="320"/>
      <c r="B109" s="321"/>
      <c r="C109" s="328"/>
      <c r="D109" s="329"/>
      <c r="E109" s="327"/>
      <c r="F109" s="323"/>
      <c r="G109" s="324"/>
    </row>
    <row r="110" spans="1:7" s="319" customFormat="1" ht="18.75" customHeight="1" hidden="1">
      <c r="A110" s="320"/>
      <c r="B110" s="321"/>
      <c r="C110" s="328"/>
      <c r="D110" s="329"/>
      <c r="E110" s="327"/>
      <c r="F110" s="323"/>
      <c r="G110" s="324"/>
    </row>
    <row r="111" spans="1:7" s="319" customFormat="1" ht="18.75" customHeight="1" hidden="1">
      <c r="A111" s="320"/>
      <c r="B111" s="321"/>
      <c r="C111" s="328"/>
      <c r="D111" s="329"/>
      <c r="E111" s="327"/>
      <c r="F111" s="323"/>
      <c r="G111" s="324"/>
    </row>
    <row r="112" spans="1:7" s="319" customFormat="1" ht="18.75" customHeight="1" hidden="1">
      <c r="A112" s="321"/>
      <c r="B112" s="321"/>
      <c r="C112" s="321"/>
      <c r="D112" s="329"/>
      <c r="E112" s="327"/>
      <c r="F112" s="323"/>
      <c r="G112" s="324"/>
    </row>
    <row r="113" spans="1:7" s="319" customFormat="1" ht="18.75" customHeight="1" hidden="1">
      <c r="A113" s="321"/>
      <c r="B113" s="321"/>
      <c r="C113" s="321"/>
      <c r="D113" s="329"/>
      <c r="E113" s="327"/>
      <c r="F113" s="323"/>
      <c r="G113" s="324"/>
    </row>
    <row r="114" spans="1:7" s="319" customFormat="1" ht="18.75" customHeight="1" hidden="1">
      <c r="A114" s="320"/>
      <c r="B114" s="321"/>
      <c r="C114" s="328"/>
      <c r="D114" s="329"/>
      <c r="E114" s="327"/>
      <c r="F114" s="323"/>
      <c r="G114" s="324"/>
    </row>
    <row r="115" spans="1:7" s="319" customFormat="1" ht="18.75" customHeight="1" hidden="1">
      <c r="A115" s="320"/>
      <c r="B115" s="321"/>
      <c r="C115" s="328"/>
      <c r="D115" s="329"/>
      <c r="E115" s="327"/>
      <c r="F115" s="323"/>
      <c r="G115" s="324"/>
    </row>
    <row r="116" spans="1:7" s="319" customFormat="1" ht="18.75" customHeight="1" hidden="1">
      <c r="A116" s="320"/>
      <c r="B116" s="321"/>
      <c r="C116" s="328"/>
      <c r="D116" s="329"/>
      <c r="E116" s="327"/>
      <c r="F116" s="323"/>
      <c r="G116" s="324"/>
    </row>
    <row r="117" spans="1:7" s="319" customFormat="1" ht="18.75" customHeight="1" hidden="1">
      <c r="A117" s="320"/>
      <c r="B117" s="321"/>
      <c r="C117" s="328"/>
      <c r="D117" s="329"/>
      <c r="E117" s="327"/>
      <c r="F117" s="323"/>
      <c r="G117" s="324"/>
    </row>
    <row r="118" spans="1:7" s="319" customFormat="1" ht="18.75" customHeight="1" hidden="1">
      <c r="A118" s="320"/>
      <c r="B118" s="321"/>
      <c r="C118" s="328"/>
      <c r="D118" s="329"/>
      <c r="E118" s="327"/>
      <c r="F118" s="323"/>
      <c r="G118" s="324"/>
    </row>
    <row r="119" spans="1:7" s="319" customFormat="1" ht="18.75" customHeight="1" hidden="1">
      <c r="A119" s="320"/>
      <c r="B119" s="321"/>
      <c r="C119" s="328"/>
      <c r="D119" s="329"/>
      <c r="E119" s="327"/>
      <c r="F119" s="323"/>
      <c r="G119" s="324"/>
    </row>
    <row r="120" spans="1:7" s="319" customFormat="1" ht="18.75" customHeight="1" hidden="1">
      <c r="A120" s="320"/>
      <c r="B120" s="321"/>
      <c r="C120" s="328"/>
      <c r="D120" s="329"/>
      <c r="E120" s="327"/>
      <c r="F120" s="323"/>
      <c r="G120" s="324"/>
    </row>
    <row r="121" spans="1:7" s="319" customFormat="1" ht="18.75" customHeight="1" hidden="1">
      <c r="A121" s="320"/>
      <c r="B121" s="321"/>
      <c r="C121" s="328"/>
      <c r="D121" s="329"/>
      <c r="E121" s="327"/>
      <c r="F121" s="323"/>
      <c r="G121" s="324"/>
    </row>
    <row r="122" spans="1:7" s="319" customFormat="1" ht="18.75" customHeight="1" hidden="1">
      <c r="A122" s="320"/>
      <c r="B122" s="321"/>
      <c r="C122" s="328"/>
      <c r="D122" s="329"/>
      <c r="E122" s="327"/>
      <c r="F122" s="323"/>
      <c r="G122" s="324"/>
    </row>
    <row r="123" spans="1:7" s="319" customFormat="1" ht="18.75" customHeight="1" hidden="1">
      <c r="A123" s="320"/>
      <c r="B123" s="321"/>
      <c r="C123" s="328"/>
      <c r="D123" s="329"/>
      <c r="E123" s="327"/>
      <c r="F123" s="323"/>
      <c r="G123" s="324"/>
    </row>
    <row r="124" spans="1:7" s="319" customFormat="1" ht="18.75" customHeight="1" hidden="1">
      <c r="A124" s="320"/>
      <c r="B124" s="321"/>
      <c r="C124" s="328"/>
      <c r="D124" s="329"/>
      <c r="E124" s="327"/>
      <c r="F124" s="323"/>
      <c r="G124" s="324"/>
    </row>
    <row r="125" spans="1:7" s="319" customFormat="1" ht="18.75" customHeight="1" hidden="1">
      <c r="A125" s="320"/>
      <c r="B125" s="321"/>
      <c r="C125" s="321"/>
      <c r="D125" s="329"/>
      <c r="E125" s="327"/>
      <c r="F125" s="323"/>
      <c r="G125" s="324"/>
    </row>
    <row r="126" spans="1:7" s="319" customFormat="1" ht="18.75" customHeight="1" hidden="1">
      <c r="A126" s="320"/>
      <c r="B126" s="321"/>
      <c r="C126" s="328"/>
      <c r="D126" s="329"/>
      <c r="E126" s="327"/>
      <c r="F126" s="323"/>
      <c r="G126" s="324"/>
    </row>
    <row r="127" spans="1:7" s="319" customFormat="1" ht="18.75" customHeight="1" hidden="1">
      <c r="A127" s="320"/>
      <c r="B127" s="321"/>
      <c r="C127" s="328"/>
      <c r="D127" s="329"/>
      <c r="E127" s="327"/>
      <c r="F127" s="323"/>
      <c r="G127" s="324"/>
    </row>
    <row r="128" spans="1:7" s="319" customFormat="1" ht="18.75" customHeight="1" hidden="1">
      <c r="A128" s="320"/>
      <c r="B128" s="321"/>
      <c r="C128" s="328"/>
      <c r="D128" s="329"/>
      <c r="E128" s="327"/>
      <c r="F128" s="323"/>
      <c r="G128" s="324"/>
    </row>
    <row r="129" spans="1:7" s="319" customFormat="1" ht="18.75" customHeight="1" hidden="1">
      <c r="A129" s="320"/>
      <c r="B129" s="321"/>
      <c r="C129" s="328"/>
      <c r="D129" s="330"/>
      <c r="E129" s="327"/>
      <c r="F129" s="323"/>
      <c r="G129" s="324"/>
    </row>
    <row r="130" spans="1:7" s="319" customFormat="1" ht="18.75" customHeight="1" hidden="1">
      <c r="A130" s="320"/>
      <c r="B130" s="321"/>
      <c r="C130" s="321"/>
      <c r="D130" s="330"/>
      <c r="E130" s="327"/>
      <c r="F130" s="323"/>
      <c r="G130" s="324"/>
    </row>
    <row r="131" spans="1:7" s="319" customFormat="1" ht="18.75" customHeight="1">
      <c r="A131" s="320"/>
      <c r="B131" s="321"/>
      <c r="C131" s="321"/>
      <c r="D131" s="330"/>
      <c r="E131" s="327"/>
      <c r="F131" s="323"/>
      <c r="G131" s="324"/>
    </row>
    <row r="132" spans="1:7" s="319" customFormat="1" ht="18.75" customHeight="1">
      <c r="A132" s="320"/>
      <c r="B132" s="321"/>
      <c r="C132" s="321"/>
      <c r="D132" s="330"/>
      <c r="E132" s="327"/>
      <c r="F132" s="323"/>
      <c r="G132" s="324"/>
    </row>
    <row r="133" spans="1:7" s="319" customFormat="1" ht="18.75" customHeight="1">
      <c r="A133" s="320"/>
      <c r="B133" s="321"/>
      <c r="C133" s="321"/>
      <c r="D133" s="330"/>
      <c r="E133" s="327"/>
      <c r="F133" s="323"/>
      <c r="G133" s="324"/>
    </row>
    <row r="134" spans="1:7" ht="18.75" customHeight="1">
      <c r="A134" s="320"/>
      <c r="B134" s="321"/>
      <c r="C134" s="321"/>
      <c r="D134" s="321"/>
      <c r="E134" s="327"/>
      <c r="F134" s="323"/>
      <c r="G134" s="324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</sheetData>
  <sheetProtection/>
  <mergeCells count="6">
    <mergeCell ref="A1:G1"/>
    <mergeCell ref="A2:F2"/>
    <mergeCell ref="C3:D3"/>
    <mergeCell ref="E3:F3"/>
    <mergeCell ref="A3:A4"/>
    <mergeCell ref="B3:B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&amp;C&amp;"Times New Roman,常规"-&amp;P&amp;--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sjd</dc:creator>
  <cp:keywords/>
  <dc:description/>
  <cp:lastModifiedBy>鹤岗市水务局</cp:lastModifiedBy>
  <cp:lastPrinted>2023-03-22T09:09:52Z</cp:lastPrinted>
  <dcterms:created xsi:type="dcterms:W3CDTF">2002-08-27T06:54:23Z</dcterms:created>
  <dcterms:modified xsi:type="dcterms:W3CDTF">2024-06-18T04:37:53Z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6E86451C21B6465E908D7E7B8DC59601_13</vt:lpwstr>
  </property>
  <property fmtid="{D5CDD505-2E9C-101B-9397-08002B2CF9AE}" pid="3" name="KSOProductBuildVer">
    <vt:lpwstr>2052-12.1.0.16250</vt:lpwstr>
  </property>
</Properties>
</file>