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Sheet1" sheetId="1" r:id="rId1"/>
    <sheet name="生成使用的" sheetId="2" r:id="rId2"/>
    <sheet name="给财政局的最终数据带征收计划" sheetId="3" r:id="rId3"/>
  </sheets>
  <definedNames>
    <definedName name="_xlnm.Print_Area" localSheetId="0">Sheet1!$A$1:$K$80</definedName>
    <definedName name="_xlnm.Print_Area" localSheetId="1">生成使用的!$A$1:$L$80</definedName>
  </definedNames>
  <calcPr calcId="144525"/>
</workbook>
</file>

<file path=xl/sharedStrings.xml><?xml version="1.0" encoding="utf-8"?>
<sst xmlns="http://schemas.openxmlformats.org/spreadsheetml/2006/main" count="618" uniqueCount="138">
  <si>
    <t>附表1  2022年土地测量24个项目在2021年征收计划内一览表</t>
  </si>
  <si>
    <t>编号</t>
  </si>
  <si>
    <t>项目名称</t>
  </si>
  <si>
    <t>街道</t>
  </si>
  <si>
    <t>面积（平方米）</t>
  </si>
  <si>
    <t>GPS点（元）</t>
  </si>
  <si>
    <t>地籍测绘（元）</t>
  </si>
  <si>
    <t>权属核查（元）</t>
  </si>
  <si>
    <t>区片功能（元）</t>
  </si>
  <si>
    <t>取费合计（元）</t>
  </si>
  <si>
    <t>招标上限（七折）（元）</t>
  </si>
  <si>
    <t>征收计划</t>
  </si>
  <si>
    <t>5区泵站</t>
  </si>
  <si>
    <t>松北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</si>
  <si>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021年征收计划</t>
    </r>
  </si>
  <si>
    <t>规划中海配套道路</t>
  </si>
  <si>
    <t>规划路33南路</t>
  </si>
  <si>
    <t>哈尔滨市2018年第15期（万宝大道）</t>
  </si>
  <si>
    <t>松北区和呼兰区生活垃圾焚烧发电厂项目</t>
  </si>
  <si>
    <t>对青山镇、乐业镇</t>
  </si>
  <si>
    <t>金阳农贸嘉禾酒店</t>
  </si>
  <si>
    <t>裕强街道办事处利民村</t>
  </si>
  <si>
    <t xml:space="preserve">哈尔滨市道外区苗圃 </t>
  </si>
  <si>
    <t>利民镇裕田村</t>
  </si>
  <si>
    <t>杉杉路幼儿园补偿项目</t>
  </si>
  <si>
    <t>利民开发区</t>
  </si>
  <si>
    <t>西安大街（南京西路-宜春路）</t>
  </si>
  <si>
    <t>裕强街道裕强村</t>
  </si>
  <si>
    <t>规划81路</t>
  </si>
  <si>
    <t>江北中环路（松北大道-规划32路）</t>
  </si>
  <si>
    <t>利民水厂</t>
  </si>
  <si>
    <t>师范大学影响地</t>
  </si>
  <si>
    <t>松浦</t>
  </si>
  <si>
    <t>万宝大道影响地</t>
  </si>
  <si>
    <t>哈尔滨地下空间房地产开发有限公司</t>
  </si>
  <si>
    <t>利民泵站项目</t>
  </si>
  <si>
    <t>利民</t>
  </si>
  <si>
    <t>大都会新天地项目</t>
  </si>
  <si>
    <t>规划17路</t>
  </si>
  <si>
    <t>江安街（西宁路-规划14路）</t>
  </si>
  <si>
    <t>规划05路</t>
  </si>
  <si>
    <t>规划80路（万宝大道、规划79路）</t>
  </si>
  <si>
    <t>滨北街（祥安南大街——鑫源街）</t>
  </si>
  <si>
    <t>规划32路东道路及附属工程</t>
  </si>
  <si>
    <t>船口</t>
  </si>
  <si>
    <t>规划17路道路</t>
  </si>
  <si>
    <t>附表1合计</t>
  </si>
  <si>
    <t>附表2 2022年土地测量45个项目在2022年征收计划内一览表</t>
  </si>
  <si>
    <t>规划15路（道路及附属工程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</si>
  <si>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</t>
    </r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</si>
  <si>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022年征收计划第25项</t>
    </r>
  </si>
  <si>
    <t>规划18路道路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</si>
  <si>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022年征收计划第26项</t>
    </r>
  </si>
  <si>
    <t>规划10路道路及附属工程</t>
  </si>
  <si>
    <t>裕强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</si>
  <si>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022年征收计划第29项</t>
    </r>
  </si>
  <si>
    <t>学海街道路及附属工程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</si>
  <si>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022年征收计划第48项</t>
    </r>
  </si>
  <si>
    <t>污水泵站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</si>
  <si>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022年征收计划第62项</t>
    </r>
  </si>
  <si>
    <t>规划224路道路及附属工程</t>
  </si>
  <si>
    <t>万宝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</si>
  <si>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022年征收计划第103项</t>
    </r>
  </si>
  <si>
    <t>滨北街）道路及附属工程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</si>
  <si>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022年征收计划第104项</t>
    </r>
  </si>
  <si>
    <t>江安街道路及附属工程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</si>
  <si>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022年征收计划第105项</t>
    </r>
  </si>
  <si>
    <t>利源街道路及附属工程</t>
  </si>
  <si>
    <t>松北/松安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</si>
  <si>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022年征收计划第106项</t>
    </r>
  </si>
  <si>
    <t>规划05路道路及附属工程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</si>
  <si>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022年征收计划第107项</t>
    </r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</si>
  <si>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022年征收计划第108项</t>
    </r>
  </si>
  <si>
    <t>规划14路道路及附属工程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</si>
  <si>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022年征收计划第109项</t>
    </r>
  </si>
  <si>
    <t>规划15路道路及附属工程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</si>
  <si>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022年征收计划第111项</t>
    </r>
  </si>
  <si>
    <t>规划214路道路及附属工程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</si>
  <si>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022年征收计划第112项</t>
    </r>
  </si>
  <si>
    <t>荣昌路道路及附属工程</t>
  </si>
  <si>
    <t>利业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</si>
  <si>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022年征收计划第113项</t>
    </r>
  </si>
  <si>
    <t>江北中环路项目</t>
  </si>
  <si>
    <t>松北/松浦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</si>
  <si>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022年征收计划第121项</t>
    </r>
  </si>
  <si>
    <t>规划18路道路及附属工程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</si>
  <si>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022年征收计划第122项</t>
    </r>
  </si>
  <si>
    <t>规划01路道路及附属工程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</si>
  <si>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022年征收计划第127项</t>
    </r>
  </si>
  <si>
    <t>规划31路道路及附属工程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</si>
  <si>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022年征收计划第130项</t>
    </r>
  </si>
  <si>
    <t>规划140路道路及附属工程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</si>
  <si>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022年征收计划第133项</t>
    </r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</si>
  <si>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022年征收计划第157项</t>
    </r>
  </si>
  <si>
    <t>规划16路道路及附属工程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</si>
  <si>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022年征收计划第158项</t>
    </r>
  </si>
  <si>
    <t>规划17路道路及附属工程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</si>
  <si>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022年征收计划第159项</t>
    </r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</si>
  <si>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022年征收计划第168项</t>
    </r>
  </si>
  <si>
    <t>松浦66千伏（广信）松浦2号输变电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</si>
  <si>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022年征收计划第172项</t>
    </r>
  </si>
  <si>
    <t>规划15路（西宁路-学海路）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</si>
  <si>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021年征收计划第51项</t>
    </r>
  </si>
  <si>
    <t>规划18路（松北大道-学海路）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</si>
  <si>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021年征收计划第52项</t>
    </r>
  </si>
  <si>
    <t>海峡两岸产业园</t>
  </si>
  <si>
    <t>食品园项目</t>
  </si>
  <si>
    <t>利民前站后站回迁安置项目</t>
  </si>
  <si>
    <t>红光村回迁安置项目</t>
  </si>
  <si>
    <t>医药园区项目</t>
  </si>
  <si>
    <t>森警</t>
  </si>
  <si>
    <t>11个点</t>
  </si>
  <si>
    <t>绿世界项目</t>
  </si>
  <si>
    <t>哈铁路</t>
  </si>
  <si>
    <t>市社会福利院</t>
  </si>
  <si>
    <t>北站自贸片区</t>
  </si>
  <si>
    <t>协和风电项目</t>
  </si>
  <si>
    <t>人才公园</t>
  </si>
  <si>
    <t xml:space="preserve">避暑城规划绿地项目
</t>
  </si>
  <si>
    <t xml:space="preserve">利民中心公园项目
</t>
  </si>
  <si>
    <t xml:space="preserve">新区拖育服务指导中心项目
</t>
  </si>
  <si>
    <t>万宝大道二期</t>
  </si>
  <si>
    <t>中俄东线明哈支线天然气</t>
  </si>
  <si>
    <t>广安门中医院</t>
  </si>
  <si>
    <t>附表2合计</t>
  </si>
  <si>
    <t>附表1和附表2    合计</t>
  </si>
  <si>
    <t>附表1       2022年土地测量29个项目征收计划内一览表</t>
  </si>
  <si>
    <t>测量日期</t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</si>
  <si>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022年征收计划第3项</t>
    </r>
  </si>
  <si>
    <r>
      <rPr>
        <sz val="1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022年征收计划第24项</t>
    </r>
  </si>
  <si>
    <t>附表2 2022年土地测量40个项目不在征收计划内一览表</t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</si>
  <si>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022年征收计划第188项</t>
    </r>
  </si>
  <si>
    <r>
      <rPr>
        <sz val="10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022年征收计划第196项</t>
    </r>
  </si>
  <si>
    <t>2022年征收计划准备启动前期工作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</si>
  <si>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1个点</t>
    </r>
  </si>
  <si>
    <t>附表1  2022年土地测量24个项目</t>
  </si>
  <si>
    <t>滨北街（祥安南大街—鑫源街）</t>
  </si>
  <si>
    <t>附表2 2022年土地测量45个项目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</si>
</sst>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1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6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3" borderId="1" xfId="47" applyNumberFormat="1" applyFont="1" applyFill="1" applyBorder="1" applyAlignment="1">
      <alignment horizontal="left" vertical="center" wrapText="1"/>
    </xf>
    <xf numFmtId="176" fontId="4" fillId="3" borderId="1" xfId="47" applyNumberFormat="1" applyFont="1" applyFill="1" applyBorder="1" applyAlignment="1">
      <alignment horizontal="center" vertical="center" wrapText="1"/>
    </xf>
    <xf numFmtId="176" fontId="4" fillId="3" borderId="1" xfId="47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176" fontId="4" fillId="3" borderId="1" xfId="50" applyNumberFormat="1" applyFont="1" applyFill="1" applyBorder="1" applyAlignment="1">
      <alignment horizontal="center" vertical="center" wrapText="1"/>
    </xf>
    <xf numFmtId="176" fontId="5" fillId="3" borderId="1" xfId="47" applyNumberFormat="1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4" fillId="3" borderId="1" xfId="47" applyNumberFormat="1" applyFont="1" applyFill="1" applyBorder="1" applyAlignment="1">
      <alignment horizontal="center" vertical="center" wrapText="1" shrinkToFit="1"/>
    </xf>
    <xf numFmtId="176" fontId="5" fillId="3" borderId="1" xfId="47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 applyProtection="1">
      <alignment horizontal="center" vertical="center" wrapText="1"/>
      <protection locked="0"/>
    </xf>
    <xf numFmtId="176" fontId="0" fillId="3" borderId="1" xfId="0" applyNumberFormat="1" applyFill="1" applyBorder="1" applyAlignment="1">
      <alignment horizontal="center" vertical="center"/>
    </xf>
    <xf numFmtId="176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3" borderId="1" xfId="0" applyNumberForma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76" fontId="4" fillId="3" borderId="7" xfId="47" applyNumberFormat="1" applyFont="1" applyFill="1" applyBorder="1" applyAlignment="1">
      <alignment horizontal="center" vertical="center" wrapText="1"/>
    </xf>
    <xf numFmtId="176" fontId="4" fillId="3" borderId="0" xfId="47" applyNumberFormat="1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76" fontId="4" fillId="3" borderId="8" xfId="47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4" fillId="3" borderId="11" xfId="47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7 2 2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0"/>
  <sheetViews>
    <sheetView view="pageBreakPreview" zoomScaleNormal="100" topLeftCell="A67" workbookViewId="0">
      <selection activeCell="A1" sqref="A1:K80"/>
    </sheetView>
  </sheetViews>
  <sheetFormatPr defaultColWidth="9" defaultRowHeight="13.5"/>
  <cols>
    <col min="1" max="1" width="4.25" customWidth="1"/>
    <col min="2" max="2" width="15.375" style="41" customWidth="1"/>
    <col min="3" max="3" width="11.875" customWidth="1"/>
    <col min="4" max="4" width="12.875" customWidth="1"/>
    <col min="5" max="5" width="11.75" customWidth="1"/>
    <col min="6" max="6" width="13.125" customWidth="1"/>
    <col min="7" max="7" width="12.875" customWidth="1"/>
    <col min="8" max="8" width="15" customWidth="1"/>
    <col min="9" max="10" width="11.875" customWidth="1"/>
    <col min="11" max="12" width="10.625" customWidth="1"/>
    <col min="13" max="13" width="9" customWidth="1"/>
  </cols>
  <sheetData>
    <row r="1" ht="26.1" customHeight="1" spans="1:1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51"/>
    </row>
    <row r="2" ht="26.1" customHeight="1" spans="1:12">
      <c r="A2" s="43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52" t="s">
        <v>11</v>
      </c>
      <c r="L2" s="53"/>
    </row>
    <row r="3" ht="26.1" customHeight="1" spans="1:13">
      <c r="A3" s="45">
        <v>1</v>
      </c>
      <c r="B3" s="9" t="s">
        <v>12</v>
      </c>
      <c r="C3" s="10" t="s">
        <v>13</v>
      </c>
      <c r="D3" s="10">
        <v>11372</v>
      </c>
      <c r="E3" s="46">
        <v>7675.11</v>
      </c>
      <c r="F3" s="47">
        <f>11372*0.328+6013*0.328</f>
        <v>5702.28</v>
      </c>
      <c r="G3" s="47">
        <f>11372*0.041</f>
        <v>466.252</v>
      </c>
      <c r="H3" s="47">
        <v>5352</v>
      </c>
      <c r="I3" s="47">
        <f t="shared" ref="I3:I59" si="0">E3+F3+G3+H3</f>
        <v>19195.642</v>
      </c>
      <c r="J3" s="47">
        <f t="shared" ref="J3:J59" si="1">I3*0.7</f>
        <v>13436.9494</v>
      </c>
      <c r="K3" s="54" t="s">
        <v>14</v>
      </c>
      <c r="L3" s="55"/>
      <c r="M3" s="36">
        <v>2021</v>
      </c>
    </row>
    <row r="4" ht="26.1" customHeight="1" spans="1:13">
      <c r="A4" s="45">
        <v>2</v>
      </c>
      <c r="B4" s="9" t="s">
        <v>15</v>
      </c>
      <c r="C4" s="10" t="s">
        <v>13</v>
      </c>
      <c r="D4" s="10">
        <v>2514</v>
      </c>
      <c r="E4" s="47">
        <v>7675.11</v>
      </c>
      <c r="F4" s="47">
        <f>2514*0.292*1.3</f>
        <v>954.3144</v>
      </c>
      <c r="G4" s="47">
        <f>2514*0.032</f>
        <v>80.448</v>
      </c>
      <c r="H4" s="47">
        <v>5352</v>
      </c>
      <c r="I4" s="47">
        <f t="shared" si="0"/>
        <v>14061.8724</v>
      </c>
      <c r="J4" s="47">
        <f t="shared" si="1"/>
        <v>9843.31068</v>
      </c>
      <c r="K4" s="54" t="s">
        <v>14</v>
      </c>
      <c r="L4" s="55"/>
      <c r="M4" s="36">
        <v>2021</v>
      </c>
    </row>
    <row r="5" ht="26.1" customHeight="1" spans="1:13">
      <c r="A5" s="45">
        <v>3</v>
      </c>
      <c r="B5" s="9" t="s">
        <v>16</v>
      </c>
      <c r="C5" s="10" t="s">
        <v>13</v>
      </c>
      <c r="D5" s="10">
        <v>36981</v>
      </c>
      <c r="E5" s="47">
        <v>7675.11</v>
      </c>
      <c r="F5" s="47">
        <f>36981*0.292*1.3+2016*0.292</f>
        <v>14626.6596</v>
      </c>
      <c r="G5" s="47">
        <f>36981*0.032</f>
        <v>1183.392</v>
      </c>
      <c r="H5" s="47">
        <v>5352</v>
      </c>
      <c r="I5" s="47">
        <f t="shared" si="0"/>
        <v>28837.1616</v>
      </c>
      <c r="J5" s="47">
        <f t="shared" si="1"/>
        <v>20186.01312</v>
      </c>
      <c r="K5" s="54" t="s">
        <v>14</v>
      </c>
      <c r="L5" s="55"/>
      <c r="M5" s="36">
        <v>2021</v>
      </c>
    </row>
    <row r="6" ht="26.1" customHeight="1" spans="1:13">
      <c r="A6" s="45">
        <v>4</v>
      </c>
      <c r="B6" s="9" t="s">
        <v>17</v>
      </c>
      <c r="C6" s="10" t="s">
        <v>13</v>
      </c>
      <c r="D6" s="10">
        <v>195686</v>
      </c>
      <c r="E6" s="47">
        <f>2558.37*5</f>
        <v>12791.85</v>
      </c>
      <c r="F6" s="47">
        <f>195686*0.292*1.3+14171*0.292</f>
        <v>78420.3376</v>
      </c>
      <c r="G6" s="47">
        <f>195686*0.032</f>
        <v>6261.952</v>
      </c>
      <c r="H6" s="47">
        <f>5352*8</f>
        <v>42816</v>
      </c>
      <c r="I6" s="47">
        <f t="shared" si="0"/>
        <v>140290.1396</v>
      </c>
      <c r="J6" s="47">
        <f t="shared" si="1"/>
        <v>98203.09772</v>
      </c>
      <c r="K6" s="54" t="s">
        <v>14</v>
      </c>
      <c r="L6" s="55"/>
      <c r="M6" s="36">
        <v>2021</v>
      </c>
    </row>
    <row r="7" ht="26.1" customHeight="1" spans="1:13">
      <c r="A7" s="45">
        <v>5</v>
      </c>
      <c r="B7" s="9" t="s">
        <v>18</v>
      </c>
      <c r="C7" s="10" t="s">
        <v>19</v>
      </c>
      <c r="D7" s="10">
        <v>58529</v>
      </c>
      <c r="E7" s="47">
        <v>7675.11</v>
      </c>
      <c r="F7" s="47">
        <f>58529*0.292*1.3</f>
        <v>22217.6084</v>
      </c>
      <c r="G7" s="47">
        <f>58529*0.032</f>
        <v>1872.928</v>
      </c>
      <c r="H7" s="47">
        <v>5352</v>
      </c>
      <c r="I7" s="47">
        <f t="shared" si="0"/>
        <v>37117.6464</v>
      </c>
      <c r="J7" s="47">
        <f t="shared" si="1"/>
        <v>25982.35248</v>
      </c>
      <c r="K7" s="54" t="s">
        <v>14</v>
      </c>
      <c r="L7" s="55"/>
      <c r="M7" s="36">
        <v>2021</v>
      </c>
    </row>
    <row r="8" ht="26.1" customHeight="1" spans="1:13">
      <c r="A8" s="45"/>
      <c r="B8" s="9"/>
      <c r="C8" s="10"/>
      <c r="D8" s="10">
        <v>3237</v>
      </c>
      <c r="E8" s="47">
        <v>7675.11</v>
      </c>
      <c r="F8" s="47">
        <f>3237*0.292</f>
        <v>945.204</v>
      </c>
      <c r="G8" s="47">
        <f>3237*0.032</f>
        <v>103.584</v>
      </c>
      <c r="H8" s="47">
        <v>5352</v>
      </c>
      <c r="I8" s="47">
        <f t="shared" si="0"/>
        <v>14075.898</v>
      </c>
      <c r="J8" s="47">
        <f t="shared" si="1"/>
        <v>9853.1286</v>
      </c>
      <c r="K8" s="54" t="s">
        <v>14</v>
      </c>
      <c r="L8" s="55"/>
      <c r="M8" s="36">
        <v>2021</v>
      </c>
    </row>
    <row r="9" ht="26.1" customHeight="1" spans="1:13">
      <c r="A9" s="45">
        <v>6</v>
      </c>
      <c r="B9" s="9" t="s">
        <v>20</v>
      </c>
      <c r="C9" s="10" t="s">
        <v>21</v>
      </c>
      <c r="D9" s="10">
        <v>14308</v>
      </c>
      <c r="E9" s="47">
        <v>7675.11</v>
      </c>
      <c r="F9" s="47">
        <f>14308*0.292</f>
        <v>4177.936</v>
      </c>
      <c r="G9" s="47">
        <f>14308*0.032</f>
        <v>457.856</v>
      </c>
      <c r="H9" s="47">
        <v>5352</v>
      </c>
      <c r="I9" s="47">
        <f t="shared" si="0"/>
        <v>17662.902</v>
      </c>
      <c r="J9" s="47">
        <f t="shared" si="1"/>
        <v>12364.0314</v>
      </c>
      <c r="K9" s="54" t="s">
        <v>14</v>
      </c>
      <c r="L9" s="55"/>
      <c r="M9" s="36">
        <v>2021</v>
      </c>
    </row>
    <row r="10" ht="26.1" customHeight="1" spans="1:13">
      <c r="A10" s="45"/>
      <c r="B10" s="9"/>
      <c r="C10" s="10"/>
      <c r="D10" s="10">
        <v>11896</v>
      </c>
      <c r="E10" s="47">
        <v>7675.11</v>
      </c>
      <c r="F10" s="47">
        <f>11896*0.292</f>
        <v>3473.632</v>
      </c>
      <c r="G10" s="47">
        <f>11896*0.032</f>
        <v>380.672</v>
      </c>
      <c r="H10" s="47">
        <v>5352</v>
      </c>
      <c r="I10" s="47">
        <f t="shared" si="0"/>
        <v>16881.414</v>
      </c>
      <c r="J10" s="47">
        <f t="shared" si="1"/>
        <v>11816.9898</v>
      </c>
      <c r="K10" s="54" t="s">
        <v>14</v>
      </c>
      <c r="L10" s="55"/>
      <c r="M10" s="36">
        <v>2021</v>
      </c>
    </row>
    <row r="11" ht="26.1" customHeight="1" spans="1:13">
      <c r="A11" s="45">
        <v>7</v>
      </c>
      <c r="B11" s="9" t="s">
        <v>22</v>
      </c>
      <c r="C11" s="10" t="s">
        <v>23</v>
      </c>
      <c r="D11" s="10">
        <v>693081</v>
      </c>
      <c r="E11" s="47">
        <f>2558.37*15</f>
        <v>38375.55</v>
      </c>
      <c r="F11" s="47">
        <f>693081*0.292</f>
        <v>202379.652</v>
      </c>
      <c r="G11" s="47">
        <f>693081*0.032</f>
        <v>22178.592</v>
      </c>
      <c r="H11" s="47">
        <v>5352</v>
      </c>
      <c r="I11" s="47">
        <f t="shared" si="0"/>
        <v>268285.794</v>
      </c>
      <c r="J11" s="47">
        <f t="shared" si="1"/>
        <v>187800.0558</v>
      </c>
      <c r="K11" s="54" t="s">
        <v>14</v>
      </c>
      <c r="L11" s="55"/>
      <c r="M11" s="36">
        <v>2021</v>
      </c>
    </row>
    <row r="12" ht="26.1" customHeight="1" spans="1:13">
      <c r="A12" s="45">
        <v>8</v>
      </c>
      <c r="B12" s="9" t="s">
        <v>24</v>
      </c>
      <c r="C12" s="10" t="s">
        <v>25</v>
      </c>
      <c r="D12" s="10">
        <v>329</v>
      </c>
      <c r="E12" s="47">
        <v>7675.11</v>
      </c>
      <c r="F12" s="47">
        <f>329*0.328</f>
        <v>107.912</v>
      </c>
      <c r="G12" s="47">
        <f>329*0.041</f>
        <v>13.489</v>
      </c>
      <c r="H12" s="47">
        <v>5352</v>
      </c>
      <c r="I12" s="47">
        <f t="shared" si="0"/>
        <v>13148.511</v>
      </c>
      <c r="J12" s="47">
        <f t="shared" si="1"/>
        <v>9203.9577</v>
      </c>
      <c r="K12" s="54" t="s">
        <v>14</v>
      </c>
      <c r="L12" s="55"/>
      <c r="M12" s="36">
        <v>2021</v>
      </c>
    </row>
    <row r="13" ht="26.1" customHeight="1" spans="1:13">
      <c r="A13" s="45"/>
      <c r="B13" s="9"/>
      <c r="C13" s="10"/>
      <c r="D13" s="10">
        <v>26818</v>
      </c>
      <c r="E13" s="47">
        <v>0</v>
      </c>
      <c r="F13" s="47">
        <v>0</v>
      </c>
      <c r="G13" s="47">
        <v>0</v>
      </c>
      <c r="H13" s="47">
        <f>5352*2</f>
        <v>10704</v>
      </c>
      <c r="I13" s="47">
        <f t="shared" si="0"/>
        <v>10704</v>
      </c>
      <c r="J13" s="47">
        <f t="shared" si="1"/>
        <v>7492.8</v>
      </c>
      <c r="K13" s="54" t="s">
        <v>14</v>
      </c>
      <c r="L13" s="55"/>
      <c r="M13" s="36">
        <v>2021</v>
      </c>
    </row>
    <row r="14" ht="26.1" customHeight="1" spans="1:13">
      <c r="A14" s="45">
        <v>9</v>
      </c>
      <c r="B14" s="9" t="s">
        <v>26</v>
      </c>
      <c r="C14" s="10" t="s">
        <v>27</v>
      </c>
      <c r="D14" s="10">
        <v>32508</v>
      </c>
      <c r="E14" s="47">
        <v>7675.11</v>
      </c>
      <c r="F14" s="47">
        <f>25107*0.292+32508*0.292*1.3</f>
        <v>19671.2808</v>
      </c>
      <c r="G14" s="47">
        <f>32508*0.032</f>
        <v>1040.256</v>
      </c>
      <c r="H14" s="47">
        <v>5352</v>
      </c>
      <c r="I14" s="47">
        <f t="shared" si="0"/>
        <v>33738.6468</v>
      </c>
      <c r="J14" s="47">
        <f t="shared" si="1"/>
        <v>23617.05276</v>
      </c>
      <c r="K14" s="54" t="s">
        <v>14</v>
      </c>
      <c r="L14" s="55"/>
      <c r="M14" s="36">
        <v>2021</v>
      </c>
    </row>
    <row r="15" ht="26.1" customHeight="1" spans="1:13">
      <c r="A15" s="45">
        <v>10</v>
      </c>
      <c r="B15" s="9" t="s">
        <v>28</v>
      </c>
      <c r="C15" s="10" t="s">
        <v>13</v>
      </c>
      <c r="D15" s="10">
        <v>21720</v>
      </c>
      <c r="E15" s="47">
        <v>7675.11</v>
      </c>
      <c r="F15" s="47">
        <f>21720*0.292*1.3+40779*0.292</f>
        <v>20152.38</v>
      </c>
      <c r="G15" s="47">
        <f>21720*0.032</f>
        <v>695.04</v>
      </c>
      <c r="H15" s="47">
        <v>5352</v>
      </c>
      <c r="I15" s="47">
        <f t="shared" si="0"/>
        <v>33874.53</v>
      </c>
      <c r="J15" s="47">
        <f t="shared" si="1"/>
        <v>23712.171</v>
      </c>
      <c r="K15" s="54" t="s">
        <v>14</v>
      </c>
      <c r="L15" s="55"/>
      <c r="M15" s="36">
        <v>2021</v>
      </c>
    </row>
    <row r="16" ht="26.1" customHeight="1" spans="1:13">
      <c r="A16" s="45">
        <v>11</v>
      </c>
      <c r="B16" s="9" t="s">
        <v>29</v>
      </c>
      <c r="C16" s="10" t="s">
        <v>13</v>
      </c>
      <c r="D16" s="10">
        <v>105137</v>
      </c>
      <c r="E16" s="47">
        <v>7675.11</v>
      </c>
      <c r="F16" s="47">
        <f>105137*0.292*1.3+2638*0.292</f>
        <v>40680.3012</v>
      </c>
      <c r="G16" s="47">
        <f>105137*0.032</f>
        <v>3364.384</v>
      </c>
      <c r="H16" s="47">
        <v>5352</v>
      </c>
      <c r="I16" s="47">
        <f t="shared" si="0"/>
        <v>57071.7952</v>
      </c>
      <c r="J16" s="47">
        <f t="shared" si="1"/>
        <v>39950.25664</v>
      </c>
      <c r="K16" s="54" t="s">
        <v>14</v>
      </c>
      <c r="L16" s="55"/>
      <c r="M16" s="36">
        <v>2021</v>
      </c>
    </row>
    <row r="17" ht="26.1" customHeight="1" spans="1:13">
      <c r="A17" s="45">
        <v>12</v>
      </c>
      <c r="B17" s="9" t="s">
        <v>30</v>
      </c>
      <c r="C17" s="10" t="s">
        <v>13</v>
      </c>
      <c r="D17" s="10">
        <v>10737</v>
      </c>
      <c r="E17" s="47">
        <v>7675.11</v>
      </c>
      <c r="F17" s="47">
        <f>10737*0.292+11580*0.292</f>
        <v>6516.564</v>
      </c>
      <c r="G17" s="47">
        <f>10737*0.032</f>
        <v>343.584</v>
      </c>
      <c r="H17" s="47">
        <v>5352</v>
      </c>
      <c r="I17" s="47">
        <f t="shared" si="0"/>
        <v>19887.258</v>
      </c>
      <c r="J17" s="47">
        <f t="shared" si="1"/>
        <v>13921.0806</v>
      </c>
      <c r="K17" s="54" t="s">
        <v>14</v>
      </c>
      <c r="L17" s="55"/>
      <c r="M17" s="36">
        <v>2021</v>
      </c>
    </row>
    <row r="18" ht="26.1" customHeight="1" spans="1:13">
      <c r="A18" s="45">
        <v>13</v>
      </c>
      <c r="B18" s="9" t="s">
        <v>31</v>
      </c>
      <c r="C18" s="10" t="s">
        <v>32</v>
      </c>
      <c r="D18" s="10">
        <v>9318</v>
      </c>
      <c r="E18" s="47">
        <v>7675.11</v>
      </c>
      <c r="F18" s="47">
        <f>9318*0.292+474*0.292</f>
        <v>2859.264</v>
      </c>
      <c r="G18" s="47">
        <f>9318*0.032</f>
        <v>298.176</v>
      </c>
      <c r="H18" s="47">
        <v>0</v>
      </c>
      <c r="I18" s="47">
        <f t="shared" si="0"/>
        <v>10832.55</v>
      </c>
      <c r="J18" s="47">
        <f t="shared" si="1"/>
        <v>7582.785</v>
      </c>
      <c r="K18" s="54" t="s">
        <v>14</v>
      </c>
      <c r="L18" s="55"/>
      <c r="M18" s="36">
        <v>2021</v>
      </c>
    </row>
    <row r="19" ht="26.1" customHeight="1" spans="1:13">
      <c r="A19" s="45">
        <v>14</v>
      </c>
      <c r="B19" s="9" t="s">
        <v>33</v>
      </c>
      <c r="C19" s="10" t="s">
        <v>13</v>
      </c>
      <c r="D19" s="10">
        <v>60700</v>
      </c>
      <c r="E19" s="47">
        <v>7675.11</v>
      </c>
      <c r="F19" s="47">
        <f>60700*0.292*1.3</f>
        <v>23041.72</v>
      </c>
      <c r="G19" s="47">
        <f>60700*0.032</f>
        <v>1942.4</v>
      </c>
      <c r="H19" s="47">
        <v>0</v>
      </c>
      <c r="I19" s="47">
        <f t="shared" si="0"/>
        <v>32659.23</v>
      </c>
      <c r="J19" s="47">
        <f t="shared" si="1"/>
        <v>22861.461</v>
      </c>
      <c r="K19" s="54" t="s">
        <v>14</v>
      </c>
      <c r="L19" s="55"/>
      <c r="M19" s="36">
        <v>2021</v>
      </c>
    </row>
    <row r="20" ht="26.1" customHeight="1" spans="1:13">
      <c r="A20" s="45">
        <v>15</v>
      </c>
      <c r="B20" s="9" t="s">
        <v>34</v>
      </c>
      <c r="C20" s="10" t="s">
        <v>13</v>
      </c>
      <c r="D20" s="10">
        <v>23005</v>
      </c>
      <c r="E20" s="47">
        <v>7675.11</v>
      </c>
      <c r="F20" s="47">
        <f>23005*0.292</f>
        <v>6717.46</v>
      </c>
      <c r="G20" s="47">
        <f>23005*0.032</f>
        <v>736.16</v>
      </c>
      <c r="H20" s="47">
        <v>5352</v>
      </c>
      <c r="I20" s="47">
        <f t="shared" si="0"/>
        <v>20480.73</v>
      </c>
      <c r="J20" s="47">
        <f t="shared" si="1"/>
        <v>14336.511</v>
      </c>
      <c r="K20" s="54" t="s">
        <v>14</v>
      </c>
      <c r="L20" s="55"/>
      <c r="M20" s="36">
        <v>2021</v>
      </c>
    </row>
    <row r="21" ht="26.1" customHeight="1" spans="1:13">
      <c r="A21" s="45">
        <v>16</v>
      </c>
      <c r="B21" s="9" t="s">
        <v>35</v>
      </c>
      <c r="C21" s="10" t="s">
        <v>36</v>
      </c>
      <c r="D21" s="10">
        <v>4000</v>
      </c>
      <c r="E21" s="47">
        <v>7675.11</v>
      </c>
      <c r="F21" s="47">
        <f>4000*0.372</f>
        <v>1488</v>
      </c>
      <c r="G21" s="47">
        <f>4000*0.046</f>
        <v>184</v>
      </c>
      <c r="H21" s="47">
        <v>5352</v>
      </c>
      <c r="I21" s="47">
        <f t="shared" si="0"/>
        <v>14699.11</v>
      </c>
      <c r="J21" s="47">
        <f t="shared" si="1"/>
        <v>10289.377</v>
      </c>
      <c r="K21" s="54" t="s">
        <v>14</v>
      </c>
      <c r="L21" s="55"/>
      <c r="M21" s="36">
        <v>2021</v>
      </c>
    </row>
    <row r="22" ht="26.1" customHeight="1" spans="1:13">
      <c r="A22" s="45">
        <v>17</v>
      </c>
      <c r="B22" s="9" t="s">
        <v>37</v>
      </c>
      <c r="C22" s="10" t="s">
        <v>36</v>
      </c>
      <c r="D22" s="10">
        <v>33828</v>
      </c>
      <c r="E22" s="47">
        <v>7675.11</v>
      </c>
      <c r="F22" s="47">
        <f>33828*0.328</f>
        <v>11095.584</v>
      </c>
      <c r="G22" s="47">
        <f>33828*0.041</f>
        <v>1386.948</v>
      </c>
      <c r="H22" s="47">
        <v>5352</v>
      </c>
      <c r="I22" s="47">
        <f t="shared" si="0"/>
        <v>25509.642</v>
      </c>
      <c r="J22" s="47">
        <f t="shared" si="1"/>
        <v>17856.7494</v>
      </c>
      <c r="K22" s="54" t="s">
        <v>14</v>
      </c>
      <c r="L22" s="55"/>
      <c r="M22" s="36">
        <v>2021</v>
      </c>
    </row>
    <row r="23" ht="26.1" customHeight="1" spans="1:13">
      <c r="A23" s="45">
        <v>18</v>
      </c>
      <c r="B23" s="9" t="s">
        <v>38</v>
      </c>
      <c r="C23" s="10" t="s">
        <v>13</v>
      </c>
      <c r="D23" s="10">
        <v>12811</v>
      </c>
      <c r="E23" s="47">
        <v>7675.11</v>
      </c>
      <c r="F23" s="47">
        <f>12811*0.328*1.3+2352*0.328</f>
        <v>6234.0664</v>
      </c>
      <c r="G23" s="47">
        <f>12811*0.041</f>
        <v>525.251</v>
      </c>
      <c r="H23" s="47">
        <v>5352</v>
      </c>
      <c r="I23" s="47">
        <f t="shared" si="0"/>
        <v>19786.4274</v>
      </c>
      <c r="J23" s="47">
        <f t="shared" si="1"/>
        <v>13850.49918</v>
      </c>
      <c r="K23" s="54" t="s">
        <v>14</v>
      </c>
      <c r="L23" s="55"/>
      <c r="M23" s="36">
        <v>2021</v>
      </c>
    </row>
    <row r="24" ht="26.1" customHeight="1" spans="1:13">
      <c r="A24" s="45">
        <v>19</v>
      </c>
      <c r="B24" s="9" t="s">
        <v>39</v>
      </c>
      <c r="C24" s="10" t="s">
        <v>13</v>
      </c>
      <c r="D24" s="10">
        <v>15938</v>
      </c>
      <c r="E24" s="47">
        <v>7675.11</v>
      </c>
      <c r="F24" s="47">
        <f>15938*0.328*1.3+36721*0.328</f>
        <v>18840.4512</v>
      </c>
      <c r="G24" s="47">
        <f>15938*0.041</f>
        <v>653.458</v>
      </c>
      <c r="H24" s="47">
        <v>5352</v>
      </c>
      <c r="I24" s="47">
        <f t="shared" si="0"/>
        <v>32521.0192</v>
      </c>
      <c r="J24" s="47">
        <f t="shared" si="1"/>
        <v>22764.71344</v>
      </c>
      <c r="K24" s="54" t="s">
        <v>14</v>
      </c>
      <c r="L24" s="55"/>
      <c r="M24" s="36">
        <v>2021</v>
      </c>
    </row>
    <row r="25" ht="26.1" customHeight="1" spans="1:13">
      <c r="A25" s="45">
        <v>20</v>
      </c>
      <c r="B25" s="9" t="s">
        <v>40</v>
      </c>
      <c r="C25" s="10" t="s">
        <v>13</v>
      </c>
      <c r="D25" s="10">
        <v>42570</v>
      </c>
      <c r="E25" s="47">
        <v>7675.11</v>
      </c>
      <c r="F25" s="47">
        <f>42570*0.328*1.3+162433*0.328</f>
        <v>71429.872</v>
      </c>
      <c r="G25" s="47">
        <f>42570*0.041</f>
        <v>1745.37</v>
      </c>
      <c r="H25" s="47">
        <v>5352</v>
      </c>
      <c r="I25" s="47">
        <f t="shared" si="0"/>
        <v>86202.352</v>
      </c>
      <c r="J25" s="47">
        <f t="shared" si="1"/>
        <v>60341.6464</v>
      </c>
      <c r="K25" s="54" t="s">
        <v>14</v>
      </c>
      <c r="L25" s="55"/>
      <c r="M25" s="36">
        <v>2021</v>
      </c>
    </row>
    <row r="26" ht="26.1" customHeight="1" spans="1:13">
      <c r="A26" s="45">
        <v>21</v>
      </c>
      <c r="B26" s="9" t="s">
        <v>41</v>
      </c>
      <c r="C26" s="10" t="s">
        <v>13</v>
      </c>
      <c r="D26" s="10">
        <v>29797</v>
      </c>
      <c r="E26" s="47">
        <v>7675.11</v>
      </c>
      <c r="F26" s="47">
        <f>29797*0.292*1.3+38179*0.292</f>
        <v>22459.2092</v>
      </c>
      <c r="G26" s="47">
        <f>29797*0.032</f>
        <v>953.504</v>
      </c>
      <c r="H26" s="47">
        <v>5352</v>
      </c>
      <c r="I26" s="47">
        <f t="shared" si="0"/>
        <v>36439.8232</v>
      </c>
      <c r="J26" s="47">
        <f t="shared" si="1"/>
        <v>25507.87624</v>
      </c>
      <c r="K26" s="54" t="s">
        <v>14</v>
      </c>
      <c r="L26" s="55"/>
      <c r="M26" s="36">
        <v>2021</v>
      </c>
    </row>
    <row r="27" ht="26.1" customHeight="1" spans="1:13">
      <c r="A27" s="45">
        <v>22</v>
      </c>
      <c r="B27" s="9" t="s">
        <v>42</v>
      </c>
      <c r="C27" s="10" t="s">
        <v>13</v>
      </c>
      <c r="D27" s="10">
        <v>12511</v>
      </c>
      <c r="E27" s="47">
        <v>7675.11</v>
      </c>
      <c r="F27" s="47">
        <f>12511*0.292*1.3</f>
        <v>4749.1756</v>
      </c>
      <c r="G27" s="47">
        <f>12511*0.032</f>
        <v>400.352</v>
      </c>
      <c r="H27" s="47">
        <v>5352</v>
      </c>
      <c r="I27" s="47">
        <f t="shared" si="0"/>
        <v>18176.6376</v>
      </c>
      <c r="J27" s="47">
        <f t="shared" si="1"/>
        <v>12723.64632</v>
      </c>
      <c r="K27" s="54" t="s">
        <v>14</v>
      </c>
      <c r="L27" s="55"/>
      <c r="M27" s="36">
        <v>2021</v>
      </c>
    </row>
    <row r="28" ht="26.1" customHeight="1" spans="1:13">
      <c r="A28" s="45">
        <v>23</v>
      </c>
      <c r="B28" s="11" t="s">
        <v>43</v>
      </c>
      <c r="C28" s="12" t="s">
        <v>44</v>
      </c>
      <c r="D28" s="12">
        <v>13287</v>
      </c>
      <c r="E28" s="46">
        <v>7675.11</v>
      </c>
      <c r="F28" s="46">
        <f t="shared" ref="F28:F57" si="2">D28*0.292</f>
        <v>3879.804</v>
      </c>
      <c r="G28" s="46">
        <f t="shared" ref="G28:G57" si="3">D28*0.032</f>
        <v>425.184</v>
      </c>
      <c r="H28" s="46">
        <v>5352</v>
      </c>
      <c r="I28" s="24">
        <f t="shared" si="0"/>
        <v>17332.098</v>
      </c>
      <c r="J28" s="24">
        <f t="shared" si="1"/>
        <v>12132.4686</v>
      </c>
      <c r="K28" s="54" t="s">
        <v>14</v>
      </c>
      <c r="L28" s="55"/>
      <c r="M28" s="36">
        <v>2021</v>
      </c>
    </row>
    <row r="29" ht="26.1" customHeight="1" spans="1:13">
      <c r="A29" s="45">
        <v>24</v>
      </c>
      <c r="B29" s="13" t="s">
        <v>45</v>
      </c>
      <c r="C29" s="12" t="s">
        <v>13</v>
      </c>
      <c r="D29" s="12">
        <v>10876</v>
      </c>
      <c r="E29" s="46">
        <v>7675.11</v>
      </c>
      <c r="F29" s="46">
        <f t="shared" si="2"/>
        <v>3175.792</v>
      </c>
      <c r="G29" s="46">
        <f t="shared" si="3"/>
        <v>348.032</v>
      </c>
      <c r="H29" s="46">
        <v>5352</v>
      </c>
      <c r="I29" s="24">
        <f t="shared" si="0"/>
        <v>16550.934</v>
      </c>
      <c r="J29" s="24">
        <f t="shared" si="1"/>
        <v>11585.6538</v>
      </c>
      <c r="K29" s="54" t="s">
        <v>14</v>
      </c>
      <c r="L29" s="55"/>
      <c r="M29" s="36">
        <v>2021</v>
      </c>
    </row>
    <row r="30" ht="26.1" customHeight="1" spans="1:12">
      <c r="A30" s="45" t="s">
        <v>46</v>
      </c>
      <c r="B30" s="14"/>
      <c r="C30" s="14"/>
      <c r="D30" s="12">
        <f>SUM(D3:D29)</f>
        <v>1493494</v>
      </c>
      <c r="E30" s="12">
        <f t="shared" ref="E30:J30" si="4">SUM(E3:E29)</f>
        <v>235370.04</v>
      </c>
      <c r="F30" s="12">
        <f t="shared" si="4"/>
        <v>595996.4604</v>
      </c>
      <c r="G30" s="12">
        <f t="shared" si="4"/>
        <v>48041.264</v>
      </c>
      <c r="H30" s="12">
        <f t="shared" si="4"/>
        <v>176616</v>
      </c>
      <c r="I30" s="12">
        <f t="shared" si="4"/>
        <v>1056023.7644</v>
      </c>
      <c r="J30" s="12">
        <f t="shared" si="4"/>
        <v>739216.63508</v>
      </c>
      <c r="K30" s="54"/>
      <c r="L30" s="55"/>
    </row>
    <row r="31" ht="26.1" customHeight="1" spans="1:12">
      <c r="A31" s="48" t="s">
        <v>47</v>
      </c>
      <c r="B31" s="25"/>
      <c r="C31" s="25"/>
      <c r="D31" s="25"/>
      <c r="E31" s="25"/>
      <c r="F31" s="25"/>
      <c r="G31" s="25"/>
      <c r="H31" s="25"/>
      <c r="I31" s="25"/>
      <c r="J31" s="25"/>
      <c r="K31" s="56"/>
      <c r="L31" s="51"/>
    </row>
    <row r="32" ht="26.1" customHeight="1" spans="1:12">
      <c r="A32" s="49" t="s">
        <v>1</v>
      </c>
      <c r="B32" s="50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57" t="s">
        <v>11</v>
      </c>
      <c r="L32" s="53"/>
    </row>
    <row r="33" ht="26.1" customHeight="1" spans="1:14">
      <c r="A33" s="45">
        <v>1</v>
      </c>
      <c r="B33" s="11" t="s">
        <v>48</v>
      </c>
      <c r="C33" s="12" t="s">
        <v>13</v>
      </c>
      <c r="D33" s="12">
        <v>41175</v>
      </c>
      <c r="E33" s="46">
        <v>7675.11</v>
      </c>
      <c r="F33" s="46">
        <f t="shared" si="2"/>
        <v>12023.1</v>
      </c>
      <c r="G33" s="46">
        <f t="shared" si="3"/>
        <v>1317.6</v>
      </c>
      <c r="H33" s="46">
        <v>5352</v>
      </c>
      <c r="I33" s="24">
        <f t="shared" si="0"/>
        <v>26367.81</v>
      </c>
      <c r="J33" s="24">
        <f t="shared" si="1"/>
        <v>18457.467</v>
      </c>
      <c r="K33" s="54" t="s">
        <v>49</v>
      </c>
      <c r="L33" s="55"/>
      <c r="M33" s="36">
        <v>2022</v>
      </c>
      <c r="N33" s="58" t="s">
        <v>50</v>
      </c>
    </row>
    <row r="34" ht="26.1" customHeight="1" spans="1:14">
      <c r="A34" s="45">
        <v>2</v>
      </c>
      <c r="B34" s="11" t="s">
        <v>51</v>
      </c>
      <c r="C34" s="12" t="s">
        <v>13</v>
      </c>
      <c r="D34" s="12">
        <v>28120</v>
      </c>
      <c r="E34" s="46">
        <v>7675.11</v>
      </c>
      <c r="F34" s="46">
        <f t="shared" si="2"/>
        <v>8211.04</v>
      </c>
      <c r="G34" s="46">
        <f t="shared" si="3"/>
        <v>899.84</v>
      </c>
      <c r="H34" s="46">
        <v>5352</v>
      </c>
      <c r="I34" s="24">
        <f t="shared" si="0"/>
        <v>22137.99</v>
      </c>
      <c r="J34" s="24">
        <f t="shared" si="1"/>
        <v>15496.593</v>
      </c>
      <c r="K34" s="54" t="s">
        <v>49</v>
      </c>
      <c r="L34" s="55"/>
      <c r="M34" s="36">
        <v>2022</v>
      </c>
      <c r="N34" s="58" t="s">
        <v>52</v>
      </c>
    </row>
    <row r="35" ht="26.1" customHeight="1" spans="1:14">
      <c r="A35" s="45">
        <v>3</v>
      </c>
      <c r="B35" s="11" t="s">
        <v>53</v>
      </c>
      <c r="C35" s="12" t="s">
        <v>54</v>
      </c>
      <c r="D35" s="12">
        <v>20248</v>
      </c>
      <c r="E35" s="46">
        <v>7675.11</v>
      </c>
      <c r="F35" s="46">
        <f t="shared" si="2"/>
        <v>5912.416</v>
      </c>
      <c r="G35" s="46">
        <f t="shared" si="3"/>
        <v>647.936</v>
      </c>
      <c r="H35" s="46">
        <v>5352</v>
      </c>
      <c r="I35" s="24">
        <f t="shared" si="0"/>
        <v>19587.462</v>
      </c>
      <c r="J35" s="24">
        <f t="shared" si="1"/>
        <v>13711.2234</v>
      </c>
      <c r="K35" s="54" t="s">
        <v>49</v>
      </c>
      <c r="L35" s="55"/>
      <c r="M35" s="36">
        <v>2022</v>
      </c>
      <c r="N35" s="58" t="s">
        <v>55</v>
      </c>
    </row>
    <row r="36" ht="26.1" customHeight="1" spans="1:14">
      <c r="A36" s="45">
        <v>4</v>
      </c>
      <c r="B36" s="11" t="s">
        <v>56</v>
      </c>
      <c r="C36" s="12" t="s">
        <v>13</v>
      </c>
      <c r="D36" s="15">
        <v>2657</v>
      </c>
      <c r="E36" s="46">
        <v>7675.11</v>
      </c>
      <c r="F36" s="46">
        <f t="shared" si="2"/>
        <v>775.844</v>
      </c>
      <c r="G36" s="46">
        <f t="shared" si="3"/>
        <v>85.024</v>
      </c>
      <c r="H36" s="46">
        <v>5352</v>
      </c>
      <c r="I36" s="24">
        <f t="shared" si="0"/>
        <v>13887.978</v>
      </c>
      <c r="J36" s="24">
        <f t="shared" si="1"/>
        <v>9721.5846</v>
      </c>
      <c r="K36" s="54" t="s">
        <v>49</v>
      </c>
      <c r="L36" s="55"/>
      <c r="M36" s="36">
        <v>2022</v>
      </c>
      <c r="N36" s="58" t="s">
        <v>57</v>
      </c>
    </row>
    <row r="37" ht="26.1" customHeight="1" spans="1:14">
      <c r="A37" s="45">
        <v>5</v>
      </c>
      <c r="B37" s="11" t="s">
        <v>58</v>
      </c>
      <c r="C37" s="12" t="s">
        <v>36</v>
      </c>
      <c r="D37" s="12">
        <v>14854</v>
      </c>
      <c r="E37" s="46">
        <v>7675.11</v>
      </c>
      <c r="F37" s="46">
        <f t="shared" si="2"/>
        <v>4337.368</v>
      </c>
      <c r="G37" s="46">
        <f t="shared" si="3"/>
        <v>475.328</v>
      </c>
      <c r="H37" s="46">
        <v>5352</v>
      </c>
      <c r="I37" s="24">
        <f t="shared" si="0"/>
        <v>17839.806</v>
      </c>
      <c r="J37" s="24">
        <f t="shared" si="1"/>
        <v>12487.8642</v>
      </c>
      <c r="K37" s="54" t="s">
        <v>49</v>
      </c>
      <c r="L37" s="55"/>
      <c r="M37" s="36">
        <v>2022</v>
      </c>
      <c r="N37" s="58" t="s">
        <v>59</v>
      </c>
    </row>
    <row r="38" ht="26.1" customHeight="1" spans="1:14">
      <c r="A38" s="45">
        <v>6</v>
      </c>
      <c r="B38" s="11" t="s">
        <v>60</v>
      </c>
      <c r="C38" s="12" t="s">
        <v>61</v>
      </c>
      <c r="D38" s="12">
        <v>10215</v>
      </c>
      <c r="E38" s="46">
        <v>7675.11</v>
      </c>
      <c r="F38" s="46">
        <f t="shared" si="2"/>
        <v>2982.78</v>
      </c>
      <c r="G38" s="46">
        <f t="shared" si="3"/>
        <v>326.88</v>
      </c>
      <c r="H38" s="46">
        <v>5352</v>
      </c>
      <c r="I38" s="24">
        <f t="shared" si="0"/>
        <v>16336.77</v>
      </c>
      <c r="J38" s="24">
        <f t="shared" si="1"/>
        <v>11435.739</v>
      </c>
      <c r="K38" s="54" t="s">
        <v>49</v>
      </c>
      <c r="L38" s="55"/>
      <c r="M38" s="36">
        <v>2022</v>
      </c>
      <c r="N38" s="58" t="s">
        <v>62</v>
      </c>
    </row>
    <row r="39" ht="26.1" customHeight="1" spans="1:14">
      <c r="A39" s="45">
        <v>7</v>
      </c>
      <c r="B39" s="11" t="s">
        <v>63</v>
      </c>
      <c r="C39" s="12" t="s">
        <v>13</v>
      </c>
      <c r="D39" s="12">
        <v>15800</v>
      </c>
      <c r="E39" s="46">
        <v>7675.11</v>
      </c>
      <c r="F39" s="46">
        <f t="shared" si="2"/>
        <v>4613.6</v>
      </c>
      <c r="G39" s="46">
        <f t="shared" si="3"/>
        <v>505.6</v>
      </c>
      <c r="H39" s="46">
        <v>5352</v>
      </c>
      <c r="I39" s="24">
        <f t="shared" si="0"/>
        <v>18146.31</v>
      </c>
      <c r="J39" s="24">
        <f t="shared" si="1"/>
        <v>12702.417</v>
      </c>
      <c r="K39" s="54" t="s">
        <v>49</v>
      </c>
      <c r="L39" s="55"/>
      <c r="M39" s="36">
        <v>2022</v>
      </c>
      <c r="N39" s="58" t="s">
        <v>64</v>
      </c>
    </row>
    <row r="40" ht="26.1" customHeight="1" spans="1:14">
      <c r="A40" s="45">
        <v>8</v>
      </c>
      <c r="B40" s="11" t="s">
        <v>65</v>
      </c>
      <c r="C40" s="12" t="s">
        <v>13</v>
      </c>
      <c r="D40" s="12">
        <v>22320</v>
      </c>
      <c r="E40" s="46">
        <v>7675.11</v>
      </c>
      <c r="F40" s="46">
        <f t="shared" si="2"/>
        <v>6517.44</v>
      </c>
      <c r="G40" s="46">
        <f t="shared" si="3"/>
        <v>714.24</v>
      </c>
      <c r="H40" s="46">
        <v>5352</v>
      </c>
      <c r="I40" s="24">
        <f t="shared" si="0"/>
        <v>20258.79</v>
      </c>
      <c r="J40" s="24">
        <f t="shared" si="1"/>
        <v>14181.153</v>
      </c>
      <c r="K40" s="54" t="s">
        <v>49</v>
      </c>
      <c r="L40" s="55"/>
      <c r="M40" s="36">
        <v>2022</v>
      </c>
      <c r="N40" s="58" t="s">
        <v>66</v>
      </c>
    </row>
    <row r="41" ht="26.1" customHeight="1" spans="1:14">
      <c r="A41" s="45">
        <v>9</v>
      </c>
      <c r="B41" s="11" t="s">
        <v>67</v>
      </c>
      <c r="C41" s="12" t="s">
        <v>68</v>
      </c>
      <c r="D41" s="12">
        <v>15400</v>
      </c>
      <c r="E41" s="46">
        <v>7675.11</v>
      </c>
      <c r="F41" s="46">
        <f t="shared" si="2"/>
        <v>4496.8</v>
      </c>
      <c r="G41" s="46">
        <f t="shared" si="3"/>
        <v>492.8</v>
      </c>
      <c r="H41" s="46">
        <v>5352</v>
      </c>
      <c r="I41" s="24">
        <f t="shared" si="0"/>
        <v>18016.71</v>
      </c>
      <c r="J41" s="24">
        <f t="shared" si="1"/>
        <v>12611.697</v>
      </c>
      <c r="K41" s="54" t="s">
        <v>49</v>
      </c>
      <c r="L41" s="55"/>
      <c r="M41" s="36">
        <v>2022</v>
      </c>
      <c r="N41" s="58" t="s">
        <v>69</v>
      </c>
    </row>
    <row r="42" ht="26.1" customHeight="1" spans="1:14">
      <c r="A42" s="45">
        <v>10</v>
      </c>
      <c r="B42" s="11" t="s">
        <v>70</v>
      </c>
      <c r="C42" s="12" t="s">
        <v>13</v>
      </c>
      <c r="D42" s="12">
        <v>44000</v>
      </c>
      <c r="E42" s="46">
        <v>7675.11</v>
      </c>
      <c r="F42" s="46">
        <f t="shared" si="2"/>
        <v>12848</v>
      </c>
      <c r="G42" s="46">
        <f t="shared" si="3"/>
        <v>1408</v>
      </c>
      <c r="H42" s="46">
        <v>5352</v>
      </c>
      <c r="I42" s="24">
        <f t="shared" si="0"/>
        <v>27283.11</v>
      </c>
      <c r="J42" s="24">
        <f t="shared" si="1"/>
        <v>19098.177</v>
      </c>
      <c r="K42" s="54" t="s">
        <v>49</v>
      </c>
      <c r="L42" s="55"/>
      <c r="M42" s="36">
        <v>2022</v>
      </c>
      <c r="N42" s="58" t="s">
        <v>71</v>
      </c>
    </row>
    <row r="43" ht="26.1" customHeight="1" spans="1:14">
      <c r="A43" s="45">
        <v>11</v>
      </c>
      <c r="B43" s="11" t="s">
        <v>53</v>
      </c>
      <c r="C43" s="12" t="s">
        <v>13</v>
      </c>
      <c r="D43" s="12">
        <v>10800</v>
      </c>
      <c r="E43" s="46">
        <v>7675.11</v>
      </c>
      <c r="F43" s="46">
        <f t="shared" si="2"/>
        <v>3153.6</v>
      </c>
      <c r="G43" s="46">
        <f t="shared" si="3"/>
        <v>345.6</v>
      </c>
      <c r="H43" s="46">
        <v>5352</v>
      </c>
      <c r="I43" s="24">
        <f t="shared" si="0"/>
        <v>16526.31</v>
      </c>
      <c r="J43" s="24">
        <f t="shared" si="1"/>
        <v>11568.417</v>
      </c>
      <c r="K43" s="54" t="s">
        <v>49</v>
      </c>
      <c r="L43" s="55"/>
      <c r="M43" s="36">
        <v>2022</v>
      </c>
      <c r="N43" s="58" t="s">
        <v>72</v>
      </c>
    </row>
    <row r="44" ht="26.1" customHeight="1" spans="1:14">
      <c r="A44" s="45">
        <v>12</v>
      </c>
      <c r="B44" s="11" t="s">
        <v>73</v>
      </c>
      <c r="C44" s="12" t="s">
        <v>13</v>
      </c>
      <c r="D44" s="12">
        <v>116727</v>
      </c>
      <c r="E44" s="46">
        <v>7675.11</v>
      </c>
      <c r="F44" s="46">
        <f t="shared" si="2"/>
        <v>34084.284</v>
      </c>
      <c r="G44" s="46">
        <f t="shared" si="3"/>
        <v>3735.264</v>
      </c>
      <c r="H44" s="46">
        <v>5352</v>
      </c>
      <c r="I44" s="24">
        <f t="shared" si="0"/>
        <v>50846.658</v>
      </c>
      <c r="J44" s="24">
        <f t="shared" si="1"/>
        <v>35592.6606</v>
      </c>
      <c r="K44" s="54" t="s">
        <v>49</v>
      </c>
      <c r="L44" s="55"/>
      <c r="M44" s="36">
        <v>2022</v>
      </c>
      <c r="N44" s="58" t="s">
        <v>74</v>
      </c>
    </row>
    <row r="45" ht="26.1" customHeight="1" spans="1:14">
      <c r="A45" s="45">
        <v>13</v>
      </c>
      <c r="B45" s="11" t="s">
        <v>75</v>
      </c>
      <c r="C45" s="12" t="s">
        <v>13</v>
      </c>
      <c r="D45" s="12">
        <v>23550</v>
      </c>
      <c r="E45" s="46">
        <v>7675.11</v>
      </c>
      <c r="F45" s="46">
        <f t="shared" si="2"/>
        <v>6876.6</v>
      </c>
      <c r="G45" s="46">
        <f t="shared" si="3"/>
        <v>753.6</v>
      </c>
      <c r="H45" s="46">
        <v>5352</v>
      </c>
      <c r="I45" s="24">
        <f t="shared" si="0"/>
        <v>20657.31</v>
      </c>
      <c r="J45" s="24">
        <f t="shared" si="1"/>
        <v>14460.117</v>
      </c>
      <c r="K45" s="54" t="s">
        <v>49</v>
      </c>
      <c r="L45" s="55"/>
      <c r="M45" s="36">
        <v>2022</v>
      </c>
      <c r="N45" s="58" t="s">
        <v>76</v>
      </c>
    </row>
    <row r="46" ht="26.1" customHeight="1" spans="1:14">
      <c r="A46" s="45">
        <v>14</v>
      </c>
      <c r="B46" s="11" t="s">
        <v>77</v>
      </c>
      <c r="C46" s="12" t="s">
        <v>61</v>
      </c>
      <c r="D46" s="12">
        <v>20559</v>
      </c>
      <c r="E46" s="46">
        <v>7675.11</v>
      </c>
      <c r="F46" s="46">
        <f t="shared" si="2"/>
        <v>6003.228</v>
      </c>
      <c r="G46" s="46">
        <f t="shared" si="3"/>
        <v>657.888</v>
      </c>
      <c r="H46" s="46">
        <v>5352</v>
      </c>
      <c r="I46" s="24">
        <f t="shared" si="0"/>
        <v>19688.226</v>
      </c>
      <c r="J46" s="24">
        <f t="shared" si="1"/>
        <v>13781.7582</v>
      </c>
      <c r="K46" s="54" t="s">
        <v>49</v>
      </c>
      <c r="L46" s="55"/>
      <c r="M46" s="36">
        <v>2022</v>
      </c>
      <c r="N46" s="58" t="s">
        <v>78</v>
      </c>
    </row>
    <row r="47" ht="26.1" customHeight="1" spans="1:14">
      <c r="A47" s="45">
        <v>15</v>
      </c>
      <c r="B47" s="11" t="s">
        <v>79</v>
      </c>
      <c r="C47" s="12" t="s">
        <v>80</v>
      </c>
      <c r="D47" s="12">
        <v>38400</v>
      </c>
      <c r="E47" s="46">
        <v>7675.11</v>
      </c>
      <c r="F47" s="46">
        <f t="shared" si="2"/>
        <v>11212.8</v>
      </c>
      <c r="G47" s="46">
        <f t="shared" si="3"/>
        <v>1228.8</v>
      </c>
      <c r="H47" s="46">
        <v>5352</v>
      </c>
      <c r="I47" s="24">
        <f t="shared" si="0"/>
        <v>25468.71</v>
      </c>
      <c r="J47" s="24">
        <f t="shared" si="1"/>
        <v>17828.097</v>
      </c>
      <c r="K47" s="54" t="s">
        <v>49</v>
      </c>
      <c r="L47" s="55"/>
      <c r="M47" s="36">
        <v>2022</v>
      </c>
      <c r="N47" s="58" t="s">
        <v>81</v>
      </c>
    </row>
    <row r="48" ht="26.1" customHeight="1" spans="1:14">
      <c r="A48" s="45">
        <v>16</v>
      </c>
      <c r="B48" s="11" t="s">
        <v>82</v>
      </c>
      <c r="C48" s="12" t="s">
        <v>83</v>
      </c>
      <c r="D48" s="12">
        <v>485000</v>
      </c>
      <c r="E48" s="46">
        <v>7675.11</v>
      </c>
      <c r="F48" s="46">
        <f t="shared" si="2"/>
        <v>141620</v>
      </c>
      <c r="G48" s="46">
        <f t="shared" si="3"/>
        <v>15520</v>
      </c>
      <c r="H48" s="46">
        <v>5352</v>
      </c>
      <c r="I48" s="24">
        <f t="shared" si="0"/>
        <v>170167.11</v>
      </c>
      <c r="J48" s="24">
        <f t="shared" si="1"/>
        <v>119116.977</v>
      </c>
      <c r="K48" s="54" t="s">
        <v>49</v>
      </c>
      <c r="L48" s="55"/>
      <c r="M48" s="36">
        <v>2022</v>
      </c>
      <c r="N48" s="58" t="s">
        <v>84</v>
      </c>
    </row>
    <row r="49" ht="26.1" customHeight="1" spans="1:14">
      <c r="A49" s="45">
        <v>17</v>
      </c>
      <c r="B49" s="11" t="s">
        <v>85</v>
      </c>
      <c r="C49" s="12" t="s">
        <v>13</v>
      </c>
      <c r="D49" s="12">
        <v>14648</v>
      </c>
      <c r="E49" s="46">
        <v>7675.11</v>
      </c>
      <c r="F49" s="46">
        <f t="shared" si="2"/>
        <v>4277.216</v>
      </c>
      <c r="G49" s="46">
        <f t="shared" si="3"/>
        <v>468.736</v>
      </c>
      <c r="H49" s="46">
        <v>5352</v>
      </c>
      <c r="I49" s="24">
        <f t="shared" si="0"/>
        <v>17773.062</v>
      </c>
      <c r="J49" s="24">
        <f t="shared" si="1"/>
        <v>12441.1434</v>
      </c>
      <c r="K49" s="54" t="s">
        <v>49</v>
      </c>
      <c r="L49" s="55"/>
      <c r="M49" s="36">
        <v>2022</v>
      </c>
      <c r="N49" s="58" t="s">
        <v>86</v>
      </c>
    </row>
    <row r="50" ht="26.1" customHeight="1" spans="1:14">
      <c r="A50" s="45">
        <v>18</v>
      </c>
      <c r="B50" s="11" t="s">
        <v>87</v>
      </c>
      <c r="C50" s="12" t="s">
        <v>13</v>
      </c>
      <c r="D50" s="12">
        <v>118514</v>
      </c>
      <c r="E50" s="46">
        <v>7675.11</v>
      </c>
      <c r="F50" s="46">
        <f t="shared" si="2"/>
        <v>34606.088</v>
      </c>
      <c r="G50" s="46">
        <f t="shared" si="3"/>
        <v>3792.448</v>
      </c>
      <c r="H50" s="46">
        <v>5352</v>
      </c>
      <c r="I50" s="24">
        <f t="shared" si="0"/>
        <v>51425.646</v>
      </c>
      <c r="J50" s="24">
        <f t="shared" si="1"/>
        <v>35997.9522</v>
      </c>
      <c r="K50" s="54" t="s">
        <v>49</v>
      </c>
      <c r="L50" s="55"/>
      <c r="M50" s="36">
        <v>2022</v>
      </c>
      <c r="N50" s="58" t="s">
        <v>88</v>
      </c>
    </row>
    <row r="51" ht="26.1" customHeight="1" spans="1:14">
      <c r="A51" s="45">
        <v>19</v>
      </c>
      <c r="B51" s="11" t="s">
        <v>89</v>
      </c>
      <c r="C51" s="12" t="s">
        <v>13</v>
      </c>
      <c r="D51" s="12">
        <v>16484</v>
      </c>
      <c r="E51" s="46">
        <v>7675.11</v>
      </c>
      <c r="F51" s="46">
        <f t="shared" si="2"/>
        <v>4813.328</v>
      </c>
      <c r="G51" s="46">
        <f t="shared" si="3"/>
        <v>527.488</v>
      </c>
      <c r="H51" s="46">
        <v>5352</v>
      </c>
      <c r="I51" s="24">
        <f t="shared" si="0"/>
        <v>18367.926</v>
      </c>
      <c r="J51" s="24">
        <f t="shared" si="1"/>
        <v>12857.5482</v>
      </c>
      <c r="K51" s="54" t="s">
        <v>49</v>
      </c>
      <c r="L51" s="55"/>
      <c r="M51" s="36">
        <v>2022</v>
      </c>
      <c r="N51" s="58" t="s">
        <v>90</v>
      </c>
    </row>
    <row r="52" ht="26.1" customHeight="1" spans="1:14">
      <c r="A52" s="45">
        <v>20</v>
      </c>
      <c r="B52" s="11" t="s">
        <v>91</v>
      </c>
      <c r="C52" s="12" t="s">
        <v>44</v>
      </c>
      <c r="D52" s="12">
        <v>15475</v>
      </c>
      <c r="E52" s="46">
        <v>7675.11</v>
      </c>
      <c r="F52" s="46">
        <f t="shared" si="2"/>
        <v>4518.7</v>
      </c>
      <c r="G52" s="46">
        <f t="shared" si="3"/>
        <v>495.2</v>
      </c>
      <c r="H52" s="46">
        <v>5352</v>
      </c>
      <c r="I52" s="24">
        <f t="shared" si="0"/>
        <v>18041.01</v>
      </c>
      <c r="J52" s="24">
        <f t="shared" si="1"/>
        <v>12628.707</v>
      </c>
      <c r="K52" s="54" t="s">
        <v>49</v>
      </c>
      <c r="L52" s="55"/>
      <c r="M52" s="36">
        <v>2022</v>
      </c>
      <c r="N52" s="58" t="s">
        <v>92</v>
      </c>
    </row>
    <row r="53" ht="26.1" customHeight="1" spans="1:14">
      <c r="A53" s="45">
        <v>21</v>
      </c>
      <c r="B53" s="11" t="s">
        <v>77</v>
      </c>
      <c r="C53" s="12" t="s">
        <v>61</v>
      </c>
      <c r="D53" s="12">
        <v>10218</v>
      </c>
      <c r="E53" s="46">
        <v>7675.11</v>
      </c>
      <c r="F53" s="46">
        <f t="shared" si="2"/>
        <v>2983.656</v>
      </c>
      <c r="G53" s="46">
        <f t="shared" si="3"/>
        <v>326.976</v>
      </c>
      <c r="H53" s="46">
        <v>5352</v>
      </c>
      <c r="I53" s="59">
        <f t="shared" si="0"/>
        <v>16337.742</v>
      </c>
      <c r="J53" s="59">
        <f t="shared" si="1"/>
        <v>11436.4194</v>
      </c>
      <c r="K53" s="54" t="s">
        <v>49</v>
      </c>
      <c r="L53" s="55"/>
      <c r="M53" s="36">
        <v>2022</v>
      </c>
      <c r="N53" s="58" t="s">
        <v>93</v>
      </c>
    </row>
    <row r="54" ht="26.1" customHeight="1" spans="1:14">
      <c r="A54" s="45">
        <v>22</v>
      </c>
      <c r="B54" s="11" t="s">
        <v>94</v>
      </c>
      <c r="C54" s="12" t="s">
        <v>13</v>
      </c>
      <c r="D54" s="12">
        <v>17200</v>
      </c>
      <c r="E54" s="46">
        <v>7675.11</v>
      </c>
      <c r="F54" s="46">
        <f t="shared" si="2"/>
        <v>5022.4</v>
      </c>
      <c r="G54" s="46">
        <f t="shared" si="3"/>
        <v>550.4</v>
      </c>
      <c r="H54" s="46">
        <v>5352</v>
      </c>
      <c r="I54" s="59">
        <f t="shared" si="0"/>
        <v>18599.91</v>
      </c>
      <c r="J54" s="59">
        <f t="shared" si="1"/>
        <v>13019.937</v>
      </c>
      <c r="K54" s="54" t="s">
        <v>49</v>
      </c>
      <c r="L54" s="55"/>
      <c r="M54" s="36">
        <v>2022</v>
      </c>
      <c r="N54" s="58" t="s">
        <v>95</v>
      </c>
    </row>
    <row r="55" ht="26.1" customHeight="1" spans="1:14">
      <c r="A55" s="45">
        <v>23</v>
      </c>
      <c r="B55" s="11" t="s">
        <v>96</v>
      </c>
      <c r="C55" s="12" t="s">
        <v>13</v>
      </c>
      <c r="D55" s="12">
        <v>31320</v>
      </c>
      <c r="E55" s="46">
        <v>7675.11</v>
      </c>
      <c r="F55" s="46">
        <f t="shared" si="2"/>
        <v>9145.44</v>
      </c>
      <c r="G55" s="46">
        <f t="shared" si="3"/>
        <v>1002.24</v>
      </c>
      <c r="H55" s="46">
        <v>5352</v>
      </c>
      <c r="I55" s="59">
        <f t="shared" si="0"/>
        <v>23174.79</v>
      </c>
      <c r="J55" s="59">
        <f t="shared" si="1"/>
        <v>16222.353</v>
      </c>
      <c r="K55" s="54" t="s">
        <v>49</v>
      </c>
      <c r="L55" s="55"/>
      <c r="M55" s="36">
        <v>2022</v>
      </c>
      <c r="N55" s="58" t="s">
        <v>97</v>
      </c>
    </row>
    <row r="56" ht="26.1" customHeight="1" spans="1:14">
      <c r="A56" s="45">
        <v>24</v>
      </c>
      <c r="B56" s="11" t="s">
        <v>91</v>
      </c>
      <c r="C56" s="12" t="s">
        <v>44</v>
      </c>
      <c r="D56" s="12">
        <v>9484</v>
      </c>
      <c r="E56" s="46">
        <v>7675.11</v>
      </c>
      <c r="F56" s="46">
        <f t="shared" si="2"/>
        <v>2769.328</v>
      </c>
      <c r="G56" s="46">
        <f t="shared" si="3"/>
        <v>303.488</v>
      </c>
      <c r="H56" s="46">
        <v>5352</v>
      </c>
      <c r="I56" s="59">
        <f t="shared" si="0"/>
        <v>16099.926</v>
      </c>
      <c r="J56" s="59">
        <f t="shared" si="1"/>
        <v>11269.9482</v>
      </c>
      <c r="K56" s="54" t="s">
        <v>49</v>
      </c>
      <c r="L56" s="55"/>
      <c r="M56" s="36">
        <v>2022</v>
      </c>
      <c r="N56" s="58" t="s">
        <v>98</v>
      </c>
    </row>
    <row r="57" ht="26.1" customHeight="1" spans="1:14">
      <c r="A57" s="45">
        <v>25</v>
      </c>
      <c r="B57" s="16" t="s">
        <v>99</v>
      </c>
      <c r="C57" s="12" t="s">
        <v>44</v>
      </c>
      <c r="D57" s="12">
        <v>12154</v>
      </c>
      <c r="E57" s="46">
        <v>7675.11</v>
      </c>
      <c r="F57" s="46">
        <f t="shared" si="2"/>
        <v>3548.968</v>
      </c>
      <c r="G57" s="46">
        <f t="shared" si="3"/>
        <v>388.928</v>
      </c>
      <c r="H57" s="46">
        <v>5352</v>
      </c>
      <c r="I57" s="59">
        <f t="shared" si="0"/>
        <v>16965.006</v>
      </c>
      <c r="J57" s="59">
        <f t="shared" si="1"/>
        <v>11875.5042</v>
      </c>
      <c r="K57" s="54" t="s">
        <v>49</v>
      </c>
      <c r="L57" s="55"/>
      <c r="M57" s="36">
        <v>2021</v>
      </c>
      <c r="N57" s="58" t="s">
        <v>100</v>
      </c>
    </row>
    <row r="58" ht="26.1" customHeight="1" spans="1:14">
      <c r="A58" s="45">
        <v>26</v>
      </c>
      <c r="B58" s="17" t="s">
        <v>101</v>
      </c>
      <c r="C58" s="18" t="s">
        <v>13</v>
      </c>
      <c r="D58" s="19">
        <v>54397</v>
      </c>
      <c r="E58" s="46">
        <v>7675.11</v>
      </c>
      <c r="F58" s="46">
        <f>54397*0.292*1.3+55593*0.292</f>
        <v>36882.2572</v>
      </c>
      <c r="G58" s="46">
        <f>54397*0.032</f>
        <v>1740.704</v>
      </c>
      <c r="H58" s="46">
        <v>5352</v>
      </c>
      <c r="I58" s="46">
        <f t="shared" si="0"/>
        <v>51650.0712</v>
      </c>
      <c r="J58" s="46">
        <f t="shared" si="1"/>
        <v>36155.04984</v>
      </c>
      <c r="K58" s="54" t="s">
        <v>49</v>
      </c>
      <c r="L58" s="55"/>
      <c r="M58" s="36">
        <v>2021</v>
      </c>
      <c r="N58" s="58" t="s">
        <v>102</v>
      </c>
    </row>
    <row r="59" ht="26.1" customHeight="1" spans="1:14">
      <c r="A59" s="45">
        <v>27</v>
      </c>
      <c r="B59" s="17" t="s">
        <v>103</v>
      </c>
      <c r="C59" s="18" t="s">
        <v>13</v>
      </c>
      <c r="D59" s="19">
        <v>28784</v>
      </c>
      <c r="E59" s="46">
        <v>7675.11</v>
      </c>
      <c r="F59" s="46">
        <f>28784*0.292*1.3+30*0.292</f>
        <v>10935.1664</v>
      </c>
      <c r="G59" s="46">
        <f>28784*0.032</f>
        <v>921.088</v>
      </c>
      <c r="H59" s="46">
        <v>5352</v>
      </c>
      <c r="I59" s="46">
        <f t="shared" si="0"/>
        <v>24883.3644</v>
      </c>
      <c r="J59" s="46">
        <f t="shared" si="1"/>
        <v>17418.35508</v>
      </c>
      <c r="K59" s="54" t="s">
        <v>49</v>
      </c>
      <c r="L59" s="55"/>
      <c r="M59" s="36">
        <v>2021</v>
      </c>
      <c r="N59" s="58" t="s">
        <v>104</v>
      </c>
    </row>
    <row r="60" ht="26.1" customHeight="1" spans="1:13">
      <c r="A60" s="45">
        <v>28</v>
      </c>
      <c r="B60" s="20" t="s">
        <v>105</v>
      </c>
      <c r="C60" s="10" t="s">
        <v>36</v>
      </c>
      <c r="D60" s="21">
        <v>187846</v>
      </c>
      <c r="E60" s="47">
        <f>2558.37*5*1.06</f>
        <v>13559.361</v>
      </c>
      <c r="F60" s="47">
        <f>187846*0.292*1.06</f>
        <v>58142.09392</v>
      </c>
      <c r="G60" s="47">
        <f>187846*0.032*1.06</f>
        <v>6371.73632</v>
      </c>
      <c r="H60" s="47">
        <v>5352</v>
      </c>
      <c r="I60" s="47">
        <f t="shared" ref="I60:I78" si="5">E60+F60+G60+H60</f>
        <v>83425.19124</v>
      </c>
      <c r="J60" s="47">
        <f t="shared" ref="J60:J78" si="6">I60*0.7</f>
        <v>58397.633868</v>
      </c>
      <c r="K60" s="54" t="s">
        <v>49</v>
      </c>
      <c r="L60" s="55"/>
      <c r="M60" s="36">
        <v>2022</v>
      </c>
    </row>
    <row r="61" ht="26.1" customHeight="1" spans="1:13">
      <c r="A61" s="45"/>
      <c r="B61" s="20"/>
      <c r="C61" s="10"/>
      <c r="D61" s="21">
        <v>153448</v>
      </c>
      <c r="E61" s="47">
        <f>2558.37*4*1.06</f>
        <v>10847.4888</v>
      </c>
      <c r="F61" s="47">
        <f>153448*0.292*1.06+31247*0.292</f>
        <v>56619.34896</v>
      </c>
      <c r="G61" s="47">
        <f>153448*0.032*1.06</f>
        <v>5204.95616</v>
      </c>
      <c r="H61" s="47">
        <v>5352</v>
      </c>
      <c r="I61" s="47">
        <f t="shared" si="5"/>
        <v>78023.79392</v>
      </c>
      <c r="J61" s="47">
        <f t="shared" si="6"/>
        <v>54616.655744</v>
      </c>
      <c r="K61" s="54" t="s">
        <v>49</v>
      </c>
      <c r="L61" s="55"/>
      <c r="M61" s="36">
        <v>2022</v>
      </c>
    </row>
    <row r="62" ht="26.1" customHeight="1" spans="1:13">
      <c r="A62" s="45">
        <v>29</v>
      </c>
      <c r="B62" s="20" t="s">
        <v>106</v>
      </c>
      <c r="C62" s="10" t="s">
        <v>36</v>
      </c>
      <c r="D62" s="21">
        <v>208058</v>
      </c>
      <c r="E62" s="47">
        <f>2558.37*5*1.06</f>
        <v>13559.361</v>
      </c>
      <c r="F62" s="47">
        <f>208058*0.292*1.06+46*0.292</f>
        <v>64411.54416</v>
      </c>
      <c r="G62" s="47">
        <f>208058*0.032*1.06</f>
        <v>7057.32736</v>
      </c>
      <c r="H62" s="47">
        <v>5352</v>
      </c>
      <c r="I62" s="47">
        <f t="shared" si="5"/>
        <v>90380.23252</v>
      </c>
      <c r="J62" s="47">
        <f t="shared" si="6"/>
        <v>63266.162764</v>
      </c>
      <c r="K62" s="54" t="s">
        <v>49</v>
      </c>
      <c r="L62" s="55"/>
      <c r="M62" s="36">
        <v>2022</v>
      </c>
    </row>
    <row r="63" ht="26.1" customHeight="1" spans="1:13">
      <c r="A63" s="45">
        <v>30</v>
      </c>
      <c r="B63" s="20" t="s">
        <v>107</v>
      </c>
      <c r="C63" s="10" t="s">
        <v>36</v>
      </c>
      <c r="D63" s="21">
        <v>96227</v>
      </c>
      <c r="E63" s="47">
        <f>7675.11*1.06</f>
        <v>8135.6166</v>
      </c>
      <c r="F63" s="47">
        <f>96227*0.328*1.06+24897*0.328</f>
        <v>41622.41936</v>
      </c>
      <c r="G63" s="47">
        <f>96227*0.041*1.06</f>
        <v>4182.02542</v>
      </c>
      <c r="H63" s="47">
        <v>5352</v>
      </c>
      <c r="I63" s="47">
        <f t="shared" si="5"/>
        <v>59292.06138</v>
      </c>
      <c r="J63" s="47">
        <f t="shared" si="6"/>
        <v>41504.442966</v>
      </c>
      <c r="K63" s="54" t="s">
        <v>49</v>
      </c>
      <c r="L63" s="55"/>
      <c r="M63" s="36">
        <v>2022</v>
      </c>
    </row>
    <row r="64" ht="26.1" customHeight="1" spans="1:13">
      <c r="A64" s="45">
        <v>31</v>
      </c>
      <c r="B64" s="20" t="s">
        <v>108</v>
      </c>
      <c r="C64" s="10" t="s">
        <v>36</v>
      </c>
      <c r="D64" s="21">
        <v>235760</v>
      </c>
      <c r="E64" s="47">
        <f>2558.37*6*1.06</f>
        <v>16271.2332</v>
      </c>
      <c r="F64" s="47">
        <f>235760*0.292*1.06+7168*0.292</f>
        <v>75065.4912</v>
      </c>
      <c r="G64" s="47">
        <f>235760*0.032*1.06</f>
        <v>7996.9792</v>
      </c>
      <c r="H64" s="47">
        <v>5352</v>
      </c>
      <c r="I64" s="47">
        <f t="shared" si="5"/>
        <v>104685.7036</v>
      </c>
      <c r="J64" s="47">
        <f t="shared" si="6"/>
        <v>73279.99252</v>
      </c>
      <c r="K64" s="54" t="s">
        <v>49</v>
      </c>
      <c r="L64" s="55"/>
      <c r="M64" s="36">
        <v>2022</v>
      </c>
    </row>
    <row r="65" ht="26.1" customHeight="1" spans="1:13">
      <c r="A65" s="45">
        <v>32</v>
      </c>
      <c r="B65" s="20" t="s">
        <v>109</v>
      </c>
      <c r="C65" s="10" t="s">
        <v>36</v>
      </c>
      <c r="D65" s="21">
        <v>66092</v>
      </c>
      <c r="E65" s="47">
        <v>7675.11</v>
      </c>
      <c r="F65" s="47">
        <f>66092*0.292+3095*0.292</f>
        <v>20202.604</v>
      </c>
      <c r="G65" s="47">
        <f>66092*0.032</f>
        <v>2114.944</v>
      </c>
      <c r="H65" s="47">
        <v>5352</v>
      </c>
      <c r="I65" s="47">
        <f t="shared" si="5"/>
        <v>35344.658</v>
      </c>
      <c r="J65" s="47">
        <f t="shared" si="6"/>
        <v>24741.2606</v>
      </c>
      <c r="K65" s="54" t="s">
        <v>49</v>
      </c>
      <c r="L65" s="55"/>
      <c r="M65" s="36">
        <v>2022</v>
      </c>
    </row>
    <row r="66" ht="26.1" customHeight="1" spans="1:13">
      <c r="A66" s="45">
        <v>33</v>
      </c>
      <c r="B66" s="20" t="s">
        <v>110</v>
      </c>
      <c r="C66" s="10" t="s">
        <v>13</v>
      </c>
      <c r="D66" s="21" t="s">
        <v>111</v>
      </c>
      <c r="E66" s="47">
        <v>0</v>
      </c>
      <c r="F66" s="47">
        <f>648.58*11</f>
        <v>7134.38</v>
      </c>
      <c r="G66" s="47">
        <v>0</v>
      </c>
      <c r="H66" s="47"/>
      <c r="I66" s="47">
        <f t="shared" si="5"/>
        <v>7134.38</v>
      </c>
      <c r="J66" s="47">
        <f t="shared" si="6"/>
        <v>4994.066</v>
      </c>
      <c r="K66" s="54" t="s">
        <v>49</v>
      </c>
      <c r="L66" s="55"/>
      <c r="M66" s="36">
        <v>2022</v>
      </c>
    </row>
    <row r="67" ht="26.1" customHeight="1" spans="1:13">
      <c r="A67" s="45">
        <v>34</v>
      </c>
      <c r="B67" s="20" t="s">
        <v>112</v>
      </c>
      <c r="C67" s="10" t="s">
        <v>13</v>
      </c>
      <c r="D67" s="21">
        <v>658100</v>
      </c>
      <c r="E67" s="47">
        <v>23025.33</v>
      </c>
      <c r="F67" s="47">
        <f>658100*0.292*1.06+46*0.292</f>
        <v>203708.544</v>
      </c>
      <c r="G67" s="47">
        <f>658100*0.032</f>
        <v>21059.2</v>
      </c>
      <c r="H67" s="47">
        <v>5352</v>
      </c>
      <c r="I67" s="47">
        <f t="shared" si="5"/>
        <v>253145.074</v>
      </c>
      <c r="J67" s="47">
        <f t="shared" si="6"/>
        <v>177201.5518</v>
      </c>
      <c r="K67" s="54" t="s">
        <v>49</v>
      </c>
      <c r="L67" s="55"/>
      <c r="M67" s="36">
        <v>2022</v>
      </c>
    </row>
    <row r="68" ht="26.1" customHeight="1" spans="1:13">
      <c r="A68" s="45">
        <v>35</v>
      </c>
      <c r="B68" s="20" t="s">
        <v>113</v>
      </c>
      <c r="C68" s="10" t="s">
        <v>13</v>
      </c>
      <c r="D68" s="21">
        <v>656956</v>
      </c>
      <c r="E68" s="47">
        <v>23025.33</v>
      </c>
      <c r="F68" s="47">
        <f>656956*0.292*1.06+46*0.292</f>
        <v>203354.45312</v>
      </c>
      <c r="G68" s="47">
        <f>656956*0.032</f>
        <v>21022.592</v>
      </c>
      <c r="H68" s="47">
        <v>5352</v>
      </c>
      <c r="I68" s="47">
        <f t="shared" si="5"/>
        <v>252754.37512</v>
      </c>
      <c r="J68" s="47">
        <f t="shared" si="6"/>
        <v>176928.062584</v>
      </c>
      <c r="K68" s="54" t="s">
        <v>49</v>
      </c>
      <c r="L68" s="55"/>
      <c r="M68" s="36">
        <v>2022</v>
      </c>
    </row>
    <row r="69" ht="26.1" customHeight="1" spans="1:13">
      <c r="A69" s="45">
        <v>36</v>
      </c>
      <c r="B69" s="20" t="s">
        <v>114</v>
      </c>
      <c r="C69" s="10" t="s">
        <v>13</v>
      </c>
      <c r="D69" s="21">
        <v>77368</v>
      </c>
      <c r="E69" s="47">
        <v>7675.11</v>
      </c>
      <c r="F69" s="47">
        <f>773684*0.292*1.3</f>
        <v>293690.4464</v>
      </c>
      <c r="G69" s="47">
        <f>77368*0.032</f>
        <v>2475.776</v>
      </c>
      <c r="H69" s="47">
        <v>5352</v>
      </c>
      <c r="I69" s="47">
        <f t="shared" si="5"/>
        <v>309193.3324</v>
      </c>
      <c r="J69" s="47">
        <f t="shared" si="6"/>
        <v>216435.33268</v>
      </c>
      <c r="K69" s="54" t="s">
        <v>49</v>
      </c>
      <c r="L69" s="55"/>
      <c r="M69" s="36">
        <v>2022</v>
      </c>
    </row>
    <row r="70" ht="26.1" customHeight="1" spans="1:13">
      <c r="A70" s="45">
        <v>37</v>
      </c>
      <c r="B70" s="20" t="s">
        <v>115</v>
      </c>
      <c r="C70" s="10" t="s">
        <v>13</v>
      </c>
      <c r="D70" s="21">
        <v>269434</v>
      </c>
      <c r="E70" s="47">
        <v>7675.11</v>
      </c>
      <c r="F70" s="47">
        <f>269434*0.292*1.3</f>
        <v>102277.1464</v>
      </c>
      <c r="G70" s="47">
        <f>269434*0.032</f>
        <v>8621.888</v>
      </c>
      <c r="H70" s="47">
        <v>5352</v>
      </c>
      <c r="I70" s="47">
        <f t="shared" ref="I70:I77" si="7">E70+F70+G70+H70</f>
        <v>123926.1444</v>
      </c>
      <c r="J70" s="47">
        <f t="shared" si="6"/>
        <v>86748.30108</v>
      </c>
      <c r="K70" s="54" t="s">
        <v>49</v>
      </c>
      <c r="L70" s="55"/>
      <c r="M70" s="36">
        <v>2022</v>
      </c>
    </row>
    <row r="71" ht="26.1" customHeight="1" spans="1:13">
      <c r="A71" s="45">
        <v>38</v>
      </c>
      <c r="B71" s="20" t="s">
        <v>116</v>
      </c>
      <c r="C71" s="10" t="s">
        <v>13</v>
      </c>
      <c r="D71" s="21">
        <v>27369</v>
      </c>
      <c r="E71" s="47">
        <v>7675.11</v>
      </c>
      <c r="F71" s="47">
        <f>27369*0.292*1.3</f>
        <v>10389.2724</v>
      </c>
      <c r="G71" s="47">
        <f>27369*0.032</f>
        <v>875.808</v>
      </c>
      <c r="H71" s="47">
        <v>5352</v>
      </c>
      <c r="I71" s="47">
        <f t="shared" si="7"/>
        <v>24292.1904</v>
      </c>
      <c r="J71" s="47">
        <f t="shared" si="6"/>
        <v>17004.53328</v>
      </c>
      <c r="K71" s="54" t="s">
        <v>49</v>
      </c>
      <c r="L71" s="55"/>
      <c r="M71" s="36">
        <v>2022</v>
      </c>
    </row>
    <row r="72" ht="26.1" customHeight="1" spans="1:13">
      <c r="A72" s="45">
        <v>39</v>
      </c>
      <c r="B72" s="20" t="s">
        <v>117</v>
      </c>
      <c r="C72" s="10" t="s">
        <v>13</v>
      </c>
      <c r="D72" s="21">
        <v>153816</v>
      </c>
      <c r="E72" s="47">
        <v>7675.11</v>
      </c>
      <c r="F72" s="47">
        <f>153816*0.292*1.3</f>
        <v>58388.5536</v>
      </c>
      <c r="G72" s="47">
        <f>153816*0.032</f>
        <v>4922.112</v>
      </c>
      <c r="H72" s="47">
        <v>5352</v>
      </c>
      <c r="I72" s="47">
        <f t="shared" si="7"/>
        <v>76337.7756</v>
      </c>
      <c r="J72" s="47">
        <f t="shared" si="6"/>
        <v>53436.44292</v>
      </c>
      <c r="K72" s="54" t="s">
        <v>49</v>
      </c>
      <c r="L72" s="55"/>
      <c r="M72" s="36">
        <v>2022</v>
      </c>
    </row>
    <row r="73" ht="26.1" customHeight="1" spans="1:13">
      <c r="A73" s="45">
        <v>40</v>
      </c>
      <c r="B73" s="20" t="s">
        <v>118</v>
      </c>
      <c r="C73" s="10" t="s">
        <v>36</v>
      </c>
      <c r="D73" s="21">
        <v>105516</v>
      </c>
      <c r="E73" s="47">
        <v>7675.11</v>
      </c>
      <c r="F73" s="47">
        <f>105516*0.292*1.3</f>
        <v>40053.8736</v>
      </c>
      <c r="G73" s="47">
        <f>105516*0.032</f>
        <v>3376.512</v>
      </c>
      <c r="H73" s="47">
        <v>5352</v>
      </c>
      <c r="I73" s="47">
        <f t="shared" si="7"/>
        <v>56457.4956</v>
      </c>
      <c r="J73" s="47">
        <f t="shared" si="6"/>
        <v>39520.24692</v>
      </c>
      <c r="K73" s="54" t="s">
        <v>49</v>
      </c>
      <c r="L73" s="55"/>
      <c r="M73" s="36">
        <v>2022</v>
      </c>
    </row>
    <row r="74" ht="26.1" customHeight="1" spans="1:13">
      <c r="A74" s="45">
        <v>41</v>
      </c>
      <c r="B74" s="20" t="s">
        <v>119</v>
      </c>
      <c r="C74" s="10" t="s">
        <v>36</v>
      </c>
      <c r="D74" s="21">
        <v>298140</v>
      </c>
      <c r="E74" s="47">
        <v>7675.11</v>
      </c>
      <c r="F74" s="47">
        <f>298140*0.292*1.3</f>
        <v>113173.944</v>
      </c>
      <c r="G74" s="47">
        <f>298140*0.032</f>
        <v>9540.48</v>
      </c>
      <c r="H74" s="47">
        <v>5352</v>
      </c>
      <c r="I74" s="47">
        <f t="shared" si="7"/>
        <v>135741.534</v>
      </c>
      <c r="J74" s="47">
        <f t="shared" si="6"/>
        <v>95019.0738</v>
      </c>
      <c r="K74" s="54" t="s">
        <v>49</v>
      </c>
      <c r="L74" s="55"/>
      <c r="M74" s="36">
        <v>2022</v>
      </c>
    </row>
    <row r="75" ht="26.1" customHeight="1" spans="1:13">
      <c r="A75" s="45">
        <v>42</v>
      </c>
      <c r="B75" s="20" t="s">
        <v>120</v>
      </c>
      <c r="C75" s="10" t="s">
        <v>36</v>
      </c>
      <c r="D75" s="21">
        <v>5001</v>
      </c>
      <c r="E75" s="47">
        <v>7675.11</v>
      </c>
      <c r="F75" s="47">
        <f>5001*0.292*1.3</f>
        <v>1898.3796</v>
      </c>
      <c r="G75" s="47">
        <f>5001*0.032</f>
        <v>160.032</v>
      </c>
      <c r="H75" s="47">
        <v>5352</v>
      </c>
      <c r="I75" s="47">
        <f t="shared" si="7"/>
        <v>15085.5216</v>
      </c>
      <c r="J75" s="47">
        <f t="shared" si="6"/>
        <v>10559.86512</v>
      </c>
      <c r="K75" s="54" t="s">
        <v>49</v>
      </c>
      <c r="L75" s="55"/>
      <c r="M75" s="36">
        <v>2022</v>
      </c>
    </row>
    <row r="76" ht="26.1" customHeight="1" spans="1:13">
      <c r="A76" s="45">
        <v>43</v>
      </c>
      <c r="B76" s="20" t="s">
        <v>121</v>
      </c>
      <c r="C76" s="10" t="s">
        <v>13</v>
      </c>
      <c r="D76" s="21">
        <v>112940</v>
      </c>
      <c r="E76" s="47">
        <v>7675.11</v>
      </c>
      <c r="F76" s="47">
        <f>112940*0.292*1.3</f>
        <v>42872.024</v>
      </c>
      <c r="G76" s="47">
        <f>112940*0.032</f>
        <v>3614.08</v>
      </c>
      <c r="H76" s="47">
        <v>5352</v>
      </c>
      <c r="I76" s="47">
        <f t="shared" si="7"/>
        <v>59513.214</v>
      </c>
      <c r="J76" s="47">
        <f t="shared" si="6"/>
        <v>41659.2498</v>
      </c>
      <c r="K76" s="54" t="s">
        <v>49</v>
      </c>
      <c r="L76" s="55"/>
      <c r="M76" s="36">
        <v>2022</v>
      </c>
    </row>
    <row r="77" ht="26.1" customHeight="1" spans="1:13">
      <c r="A77" s="45">
        <v>44</v>
      </c>
      <c r="B77" s="20" t="s">
        <v>122</v>
      </c>
      <c r="C77" s="10" t="s">
        <v>13</v>
      </c>
      <c r="D77" s="21">
        <v>11005</v>
      </c>
      <c r="E77" s="47">
        <v>7675.11</v>
      </c>
      <c r="F77" s="47">
        <f>11005*0.292*1.3</f>
        <v>4177.498</v>
      </c>
      <c r="G77" s="47">
        <f>11005*0.032</f>
        <v>352.16</v>
      </c>
      <c r="H77" s="47">
        <v>5352</v>
      </c>
      <c r="I77" s="47">
        <f t="shared" si="7"/>
        <v>17556.768</v>
      </c>
      <c r="J77" s="47">
        <f t="shared" si="6"/>
        <v>12289.7376</v>
      </c>
      <c r="K77" s="54" t="s">
        <v>49</v>
      </c>
      <c r="L77" s="55"/>
      <c r="M77" s="36">
        <v>2022</v>
      </c>
    </row>
    <row r="78" ht="26.1" customHeight="1" spans="1:13">
      <c r="A78" s="45">
        <v>45</v>
      </c>
      <c r="B78" s="20" t="s">
        <v>123</v>
      </c>
      <c r="C78" s="10" t="s">
        <v>13</v>
      </c>
      <c r="D78" s="21">
        <v>73421</v>
      </c>
      <c r="E78" s="47">
        <v>7675.11</v>
      </c>
      <c r="F78" s="47">
        <f>734241*0.292*1.3</f>
        <v>278717.8836</v>
      </c>
      <c r="G78" s="47">
        <f>73421*0.032</f>
        <v>2349.472</v>
      </c>
      <c r="H78" s="47">
        <v>5352</v>
      </c>
      <c r="I78" s="47">
        <f t="shared" si="5"/>
        <v>294094.4656</v>
      </c>
      <c r="J78" s="47">
        <f t="shared" si="6"/>
        <v>205866.12592</v>
      </c>
      <c r="K78" s="54" t="s">
        <v>49</v>
      </c>
      <c r="L78" s="55"/>
      <c r="M78" s="36">
        <v>2022</v>
      </c>
    </row>
    <row r="79" s="40" customFormat="1" ht="26.1" customHeight="1" spans="1:12">
      <c r="A79" s="60" t="s">
        <v>124</v>
      </c>
      <c r="B79" s="21"/>
      <c r="C79" s="21"/>
      <c r="D79" s="21">
        <f t="shared" ref="D79:J79" si="8">SUM(D33:D78)</f>
        <v>4635000</v>
      </c>
      <c r="E79" s="21">
        <f t="shared" si="8"/>
        <v>400077.9006</v>
      </c>
      <c r="F79" s="21">
        <f t="shared" si="8"/>
        <v>2061071.34792</v>
      </c>
      <c r="G79" s="21">
        <f t="shared" si="8"/>
        <v>150930.17646</v>
      </c>
      <c r="H79" s="21">
        <f t="shared" si="8"/>
        <v>240840</v>
      </c>
      <c r="I79" s="21">
        <f t="shared" si="8"/>
        <v>2852919.42498</v>
      </c>
      <c r="J79" s="21">
        <f t="shared" si="8"/>
        <v>1997043.597486</v>
      </c>
      <c r="K79" s="54"/>
      <c r="L79" s="55"/>
    </row>
    <row r="80" s="40" customFormat="1" ht="26.1" customHeight="1" spans="1:12">
      <c r="A80" s="61" t="s">
        <v>125</v>
      </c>
      <c r="B80" s="62"/>
      <c r="C80" s="62"/>
      <c r="D80" s="62">
        <f t="shared" ref="D80:J80" si="9">D30+D79</f>
        <v>6128494</v>
      </c>
      <c r="E80" s="62">
        <f t="shared" si="9"/>
        <v>635447.9406</v>
      </c>
      <c r="F80" s="62">
        <f t="shared" si="9"/>
        <v>2657067.80832</v>
      </c>
      <c r="G80" s="62">
        <f t="shared" si="9"/>
        <v>198971.44046</v>
      </c>
      <c r="H80" s="62">
        <f t="shared" si="9"/>
        <v>417456</v>
      </c>
      <c r="I80" s="62">
        <f t="shared" si="9"/>
        <v>3908943.18938</v>
      </c>
      <c r="J80" s="62">
        <f t="shared" si="9"/>
        <v>2736260.232566</v>
      </c>
      <c r="K80" s="63"/>
      <c r="L80" s="55"/>
    </row>
  </sheetData>
  <mergeCells count="17">
    <mergeCell ref="A1:K1"/>
    <mergeCell ref="A30:C30"/>
    <mergeCell ref="A31:K31"/>
    <mergeCell ref="A79:C79"/>
    <mergeCell ref="A80:C80"/>
    <mergeCell ref="A7:A8"/>
    <mergeCell ref="A9:A10"/>
    <mergeCell ref="A12:A13"/>
    <mergeCell ref="A60:A61"/>
    <mergeCell ref="B7:B8"/>
    <mergeCell ref="B9:B10"/>
    <mergeCell ref="B12:B13"/>
    <mergeCell ref="B60:B61"/>
    <mergeCell ref="C7:C8"/>
    <mergeCell ref="C9:C10"/>
    <mergeCell ref="C12:C13"/>
    <mergeCell ref="C60:C61"/>
  </mergeCells>
  <pageMargins left="0.708661417322835" right="0.708661417322835" top="0.748031496062992" bottom="0.748031496062992" header="0.31496062992126" footer="0.31496062992126"/>
  <pageSetup paperSize="9" scale="65" orientation="portrait"/>
  <headerFooter/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1"/>
  <sheetViews>
    <sheetView view="pageBreakPreview" zoomScale="80" zoomScaleNormal="100" topLeftCell="A29" workbookViewId="0">
      <selection activeCell="A33" sqref="A33:L33"/>
    </sheetView>
  </sheetViews>
  <sheetFormatPr defaultColWidth="9" defaultRowHeight="13.5"/>
  <cols>
    <col min="1" max="1" width="6.75" customWidth="1"/>
    <col min="2" max="2" width="25.625" customWidth="1"/>
    <col min="3" max="3" width="9.5" customWidth="1"/>
    <col min="4" max="4" width="13.125" customWidth="1"/>
    <col min="5" max="5" width="11.5" customWidth="1"/>
    <col min="6" max="6" width="14.5" customWidth="1"/>
    <col min="7" max="7" width="11.5" customWidth="1"/>
    <col min="8" max="8" width="11.75" customWidth="1"/>
    <col min="9" max="9" width="13.25" customWidth="1"/>
    <col min="10" max="10" width="13.125" customWidth="1"/>
    <col min="11" max="11" width="11.125" customWidth="1"/>
    <col min="12" max="12" width="22.625" customWidth="1"/>
  </cols>
  <sheetData>
    <row r="1" ht="35.1" customHeight="1" spans="1:12">
      <c r="A1" s="25" t="s">
        <v>126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26.1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3" t="s">
        <v>127</v>
      </c>
      <c r="L2" s="4" t="s">
        <v>11</v>
      </c>
    </row>
    <row r="3" ht="26.1" customHeight="1" spans="1:13">
      <c r="A3" s="14">
        <v>1</v>
      </c>
      <c r="B3" s="12" t="s">
        <v>43</v>
      </c>
      <c r="C3" s="12" t="s">
        <v>44</v>
      </c>
      <c r="D3" s="12">
        <v>13287</v>
      </c>
      <c r="E3" s="18">
        <v>7675.11</v>
      </c>
      <c r="F3" s="18">
        <f t="shared" ref="F3:F29" si="0">D3*0.292</f>
        <v>3879.804</v>
      </c>
      <c r="G3" s="18">
        <f t="shared" ref="G3:G29" si="1">D3*0.032</f>
        <v>425.184</v>
      </c>
      <c r="H3" s="18">
        <v>5352</v>
      </c>
      <c r="I3" s="34">
        <f t="shared" ref="I3:I43" si="2">E3+F3+G3+H3</f>
        <v>17332.098</v>
      </c>
      <c r="J3" s="34">
        <f t="shared" ref="J3:J43" si="3">I3*0.7</f>
        <v>12132.4686</v>
      </c>
      <c r="K3" s="35">
        <v>2021</v>
      </c>
      <c r="L3" s="12" t="s">
        <v>128</v>
      </c>
      <c r="M3" s="36">
        <v>2021</v>
      </c>
    </row>
    <row r="4" ht="26.1" customHeight="1" spans="1:13">
      <c r="A4" s="14">
        <v>2</v>
      </c>
      <c r="B4" s="26" t="s">
        <v>45</v>
      </c>
      <c r="C4" s="12" t="s">
        <v>13</v>
      </c>
      <c r="D4" s="12">
        <v>10876</v>
      </c>
      <c r="E4" s="18">
        <v>7675.11</v>
      </c>
      <c r="F4" s="18">
        <f t="shared" si="0"/>
        <v>3175.792</v>
      </c>
      <c r="G4" s="18">
        <f t="shared" si="1"/>
        <v>348.032</v>
      </c>
      <c r="H4" s="18">
        <v>5352</v>
      </c>
      <c r="I4" s="34">
        <f t="shared" si="2"/>
        <v>16550.934</v>
      </c>
      <c r="J4" s="34">
        <f t="shared" si="3"/>
        <v>11585.6538</v>
      </c>
      <c r="K4" s="35">
        <v>2021</v>
      </c>
      <c r="L4" s="12" t="s">
        <v>129</v>
      </c>
      <c r="M4" s="36">
        <v>2021</v>
      </c>
    </row>
    <row r="5" ht="26.1" customHeight="1" spans="1:13">
      <c r="A5" s="14">
        <v>3</v>
      </c>
      <c r="B5" s="12" t="s">
        <v>48</v>
      </c>
      <c r="C5" s="12" t="s">
        <v>13</v>
      </c>
      <c r="D5" s="12">
        <v>41175</v>
      </c>
      <c r="E5" s="18">
        <v>7675.11</v>
      </c>
      <c r="F5" s="18">
        <f t="shared" si="0"/>
        <v>12023.1</v>
      </c>
      <c r="G5" s="18">
        <f t="shared" si="1"/>
        <v>1317.6</v>
      </c>
      <c r="H5" s="18">
        <v>5352</v>
      </c>
      <c r="I5" s="34">
        <f t="shared" si="2"/>
        <v>26367.81</v>
      </c>
      <c r="J5" s="34">
        <f t="shared" si="3"/>
        <v>18457.467</v>
      </c>
      <c r="K5" s="35">
        <v>2022</v>
      </c>
      <c r="L5" s="12" t="s">
        <v>50</v>
      </c>
      <c r="M5" s="36">
        <v>2022</v>
      </c>
    </row>
    <row r="6" ht="26.1" customHeight="1" spans="1:13">
      <c r="A6" s="14">
        <v>4</v>
      </c>
      <c r="B6" s="12" t="s">
        <v>51</v>
      </c>
      <c r="C6" s="12" t="s">
        <v>13</v>
      </c>
      <c r="D6" s="12">
        <v>28120</v>
      </c>
      <c r="E6" s="18">
        <v>7675.11</v>
      </c>
      <c r="F6" s="18">
        <f t="shared" si="0"/>
        <v>8211.04</v>
      </c>
      <c r="G6" s="18">
        <f t="shared" si="1"/>
        <v>899.84</v>
      </c>
      <c r="H6" s="18">
        <v>5352</v>
      </c>
      <c r="I6" s="34">
        <f t="shared" si="2"/>
        <v>22137.99</v>
      </c>
      <c r="J6" s="34">
        <f t="shared" si="3"/>
        <v>15496.593</v>
      </c>
      <c r="K6" s="35">
        <v>2022</v>
      </c>
      <c r="L6" s="12" t="s">
        <v>52</v>
      </c>
      <c r="M6" s="36">
        <v>2022</v>
      </c>
    </row>
    <row r="7" ht="26.1" customHeight="1" spans="1:13">
      <c r="A7" s="14">
        <v>5</v>
      </c>
      <c r="B7" s="12" t="s">
        <v>53</v>
      </c>
      <c r="C7" s="12" t="s">
        <v>54</v>
      </c>
      <c r="D7" s="12">
        <v>20248</v>
      </c>
      <c r="E7" s="18">
        <v>7675.11</v>
      </c>
      <c r="F7" s="18">
        <f t="shared" si="0"/>
        <v>5912.416</v>
      </c>
      <c r="G7" s="18">
        <f t="shared" si="1"/>
        <v>647.936</v>
      </c>
      <c r="H7" s="18">
        <v>5352</v>
      </c>
      <c r="I7" s="34">
        <f t="shared" si="2"/>
        <v>19587.462</v>
      </c>
      <c r="J7" s="34">
        <f t="shared" si="3"/>
        <v>13711.2234</v>
      </c>
      <c r="K7" s="35">
        <v>2022</v>
      </c>
      <c r="L7" s="12" t="s">
        <v>55</v>
      </c>
      <c r="M7" s="36">
        <v>2022</v>
      </c>
    </row>
    <row r="8" ht="26.1" customHeight="1" spans="1:13">
      <c r="A8" s="14">
        <v>6</v>
      </c>
      <c r="B8" s="12" t="s">
        <v>56</v>
      </c>
      <c r="C8" s="12" t="s">
        <v>13</v>
      </c>
      <c r="D8" s="15">
        <v>2657</v>
      </c>
      <c r="E8" s="18">
        <v>7675.11</v>
      </c>
      <c r="F8" s="18">
        <f t="shared" si="0"/>
        <v>775.844</v>
      </c>
      <c r="G8" s="18">
        <f t="shared" si="1"/>
        <v>85.024</v>
      </c>
      <c r="H8" s="18">
        <v>5352</v>
      </c>
      <c r="I8" s="34">
        <f t="shared" si="2"/>
        <v>13887.978</v>
      </c>
      <c r="J8" s="34">
        <f t="shared" si="3"/>
        <v>9721.5846</v>
      </c>
      <c r="K8" s="35">
        <v>2022</v>
      </c>
      <c r="L8" s="12" t="s">
        <v>57</v>
      </c>
      <c r="M8" s="36">
        <v>2022</v>
      </c>
    </row>
    <row r="9" ht="26.1" customHeight="1" spans="1:13">
      <c r="A9" s="14">
        <v>7</v>
      </c>
      <c r="B9" s="12" t="s">
        <v>58</v>
      </c>
      <c r="C9" s="12" t="s">
        <v>36</v>
      </c>
      <c r="D9" s="12">
        <v>14854</v>
      </c>
      <c r="E9" s="18">
        <v>7675.11</v>
      </c>
      <c r="F9" s="18">
        <f t="shared" si="0"/>
        <v>4337.368</v>
      </c>
      <c r="G9" s="18">
        <f t="shared" si="1"/>
        <v>475.328</v>
      </c>
      <c r="H9" s="18">
        <v>5352</v>
      </c>
      <c r="I9" s="34">
        <f t="shared" si="2"/>
        <v>17839.806</v>
      </c>
      <c r="J9" s="34">
        <f t="shared" si="3"/>
        <v>12487.8642</v>
      </c>
      <c r="K9" s="35">
        <v>2022</v>
      </c>
      <c r="L9" s="12" t="s">
        <v>59</v>
      </c>
      <c r="M9" s="36">
        <v>2022</v>
      </c>
    </row>
    <row r="10" ht="26.1" customHeight="1" spans="1:13">
      <c r="A10" s="14">
        <v>8</v>
      </c>
      <c r="B10" s="12" t="s">
        <v>60</v>
      </c>
      <c r="C10" s="12" t="s">
        <v>61</v>
      </c>
      <c r="D10" s="12">
        <v>10215</v>
      </c>
      <c r="E10" s="18">
        <v>7675.11</v>
      </c>
      <c r="F10" s="18">
        <f t="shared" si="0"/>
        <v>2982.78</v>
      </c>
      <c r="G10" s="18">
        <f t="shared" si="1"/>
        <v>326.88</v>
      </c>
      <c r="H10" s="18">
        <v>5352</v>
      </c>
      <c r="I10" s="34">
        <f t="shared" si="2"/>
        <v>16336.77</v>
      </c>
      <c r="J10" s="34">
        <f t="shared" si="3"/>
        <v>11435.739</v>
      </c>
      <c r="K10" s="35">
        <v>2022</v>
      </c>
      <c r="L10" s="12" t="s">
        <v>62</v>
      </c>
      <c r="M10" s="36">
        <v>2022</v>
      </c>
    </row>
    <row r="11" ht="26.1" customHeight="1" spans="1:13">
      <c r="A11" s="14">
        <v>9</v>
      </c>
      <c r="B11" s="12" t="s">
        <v>63</v>
      </c>
      <c r="C11" s="12" t="s">
        <v>13</v>
      </c>
      <c r="D11" s="12">
        <v>15800</v>
      </c>
      <c r="E11" s="18">
        <v>7675.11</v>
      </c>
      <c r="F11" s="18">
        <f t="shared" si="0"/>
        <v>4613.6</v>
      </c>
      <c r="G11" s="18">
        <f t="shared" si="1"/>
        <v>505.6</v>
      </c>
      <c r="H11" s="18">
        <v>5352</v>
      </c>
      <c r="I11" s="34">
        <f t="shared" si="2"/>
        <v>18146.31</v>
      </c>
      <c r="J11" s="34">
        <f t="shared" si="3"/>
        <v>12702.417</v>
      </c>
      <c r="K11" s="35">
        <v>2022</v>
      </c>
      <c r="L11" s="12" t="s">
        <v>64</v>
      </c>
      <c r="M11" s="36">
        <v>2022</v>
      </c>
    </row>
    <row r="12" ht="26.1" customHeight="1" spans="1:13">
      <c r="A12" s="14">
        <v>10</v>
      </c>
      <c r="B12" s="12" t="s">
        <v>65</v>
      </c>
      <c r="C12" s="12" t="s">
        <v>13</v>
      </c>
      <c r="D12" s="12">
        <v>22320</v>
      </c>
      <c r="E12" s="18">
        <v>7675.11</v>
      </c>
      <c r="F12" s="18">
        <f t="shared" si="0"/>
        <v>6517.44</v>
      </c>
      <c r="G12" s="18">
        <f t="shared" si="1"/>
        <v>714.24</v>
      </c>
      <c r="H12" s="18">
        <v>5352</v>
      </c>
      <c r="I12" s="34">
        <f t="shared" si="2"/>
        <v>20258.79</v>
      </c>
      <c r="J12" s="34">
        <f t="shared" si="3"/>
        <v>14181.153</v>
      </c>
      <c r="K12" s="35">
        <v>2022</v>
      </c>
      <c r="L12" s="12" t="s">
        <v>66</v>
      </c>
      <c r="M12" s="36">
        <v>2022</v>
      </c>
    </row>
    <row r="13" ht="26.1" customHeight="1" spans="1:13">
      <c r="A13" s="14">
        <v>11</v>
      </c>
      <c r="B13" s="12" t="s">
        <v>67</v>
      </c>
      <c r="C13" s="12" t="s">
        <v>68</v>
      </c>
      <c r="D13" s="12">
        <v>15400</v>
      </c>
      <c r="E13" s="18">
        <v>7675.11</v>
      </c>
      <c r="F13" s="18">
        <f t="shared" si="0"/>
        <v>4496.8</v>
      </c>
      <c r="G13" s="18">
        <f t="shared" si="1"/>
        <v>492.8</v>
      </c>
      <c r="H13" s="18">
        <v>5352</v>
      </c>
      <c r="I13" s="34">
        <f t="shared" si="2"/>
        <v>18016.71</v>
      </c>
      <c r="J13" s="34">
        <f t="shared" si="3"/>
        <v>12611.697</v>
      </c>
      <c r="K13" s="35">
        <v>2022</v>
      </c>
      <c r="L13" s="12" t="s">
        <v>69</v>
      </c>
      <c r="M13" s="36">
        <v>2022</v>
      </c>
    </row>
    <row r="14" ht="26.1" customHeight="1" spans="1:13">
      <c r="A14" s="14">
        <v>12</v>
      </c>
      <c r="B14" s="12" t="s">
        <v>70</v>
      </c>
      <c r="C14" s="12" t="s">
        <v>13</v>
      </c>
      <c r="D14" s="12">
        <v>44000</v>
      </c>
      <c r="E14" s="18">
        <v>7675.11</v>
      </c>
      <c r="F14" s="18">
        <f t="shared" si="0"/>
        <v>12848</v>
      </c>
      <c r="G14" s="18">
        <f t="shared" si="1"/>
        <v>1408</v>
      </c>
      <c r="H14" s="18">
        <v>5352</v>
      </c>
      <c r="I14" s="34">
        <f t="shared" si="2"/>
        <v>27283.11</v>
      </c>
      <c r="J14" s="34">
        <f t="shared" si="3"/>
        <v>19098.177</v>
      </c>
      <c r="K14" s="35">
        <v>2022</v>
      </c>
      <c r="L14" s="12" t="s">
        <v>71</v>
      </c>
      <c r="M14" s="36">
        <v>2022</v>
      </c>
    </row>
    <row r="15" ht="26.1" customHeight="1" spans="1:13">
      <c r="A15" s="14">
        <v>13</v>
      </c>
      <c r="B15" s="12" t="s">
        <v>53</v>
      </c>
      <c r="C15" s="12" t="s">
        <v>13</v>
      </c>
      <c r="D15" s="12">
        <v>10800</v>
      </c>
      <c r="E15" s="18">
        <v>7675.11</v>
      </c>
      <c r="F15" s="18">
        <f t="shared" si="0"/>
        <v>3153.6</v>
      </c>
      <c r="G15" s="18">
        <f t="shared" si="1"/>
        <v>345.6</v>
      </c>
      <c r="H15" s="18">
        <v>5352</v>
      </c>
      <c r="I15" s="34">
        <f t="shared" si="2"/>
        <v>16526.31</v>
      </c>
      <c r="J15" s="34">
        <f t="shared" si="3"/>
        <v>11568.417</v>
      </c>
      <c r="K15" s="35">
        <v>2022</v>
      </c>
      <c r="L15" s="12" t="s">
        <v>72</v>
      </c>
      <c r="M15" s="36">
        <v>2022</v>
      </c>
    </row>
    <row r="16" ht="26.1" customHeight="1" spans="1:13">
      <c r="A16" s="14">
        <v>14</v>
      </c>
      <c r="B16" s="12" t="s">
        <v>73</v>
      </c>
      <c r="C16" s="12" t="s">
        <v>13</v>
      </c>
      <c r="D16" s="12">
        <v>116727</v>
      </c>
      <c r="E16" s="18">
        <v>7675.11</v>
      </c>
      <c r="F16" s="18">
        <f t="shared" si="0"/>
        <v>34084.284</v>
      </c>
      <c r="G16" s="18">
        <f t="shared" si="1"/>
        <v>3735.264</v>
      </c>
      <c r="H16" s="18">
        <v>5352</v>
      </c>
      <c r="I16" s="34">
        <f t="shared" si="2"/>
        <v>50846.658</v>
      </c>
      <c r="J16" s="34">
        <f t="shared" si="3"/>
        <v>35592.6606</v>
      </c>
      <c r="K16" s="35">
        <v>2022</v>
      </c>
      <c r="L16" s="12" t="s">
        <v>74</v>
      </c>
      <c r="M16" s="36">
        <v>2022</v>
      </c>
    </row>
    <row r="17" ht="26.1" customHeight="1" spans="1:13">
      <c r="A17" s="14">
        <v>15</v>
      </c>
      <c r="B17" s="12" t="s">
        <v>75</v>
      </c>
      <c r="C17" s="12" t="s">
        <v>13</v>
      </c>
      <c r="D17" s="12">
        <v>23550</v>
      </c>
      <c r="E17" s="18">
        <v>7675.11</v>
      </c>
      <c r="F17" s="18">
        <f t="shared" si="0"/>
        <v>6876.6</v>
      </c>
      <c r="G17" s="18">
        <f t="shared" si="1"/>
        <v>753.6</v>
      </c>
      <c r="H17" s="18">
        <v>5352</v>
      </c>
      <c r="I17" s="34">
        <f t="shared" si="2"/>
        <v>20657.31</v>
      </c>
      <c r="J17" s="34">
        <f t="shared" si="3"/>
        <v>14460.117</v>
      </c>
      <c r="K17" s="35">
        <v>2022</v>
      </c>
      <c r="L17" s="12" t="s">
        <v>76</v>
      </c>
      <c r="M17" s="36">
        <v>2022</v>
      </c>
    </row>
    <row r="18" ht="26.1" customHeight="1" spans="1:13">
      <c r="A18" s="14">
        <v>16</v>
      </c>
      <c r="B18" s="12" t="s">
        <v>77</v>
      </c>
      <c r="C18" s="12" t="s">
        <v>61</v>
      </c>
      <c r="D18" s="12">
        <v>20559</v>
      </c>
      <c r="E18" s="18">
        <v>7675.11</v>
      </c>
      <c r="F18" s="18">
        <f t="shared" si="0"/>
        <v>6003.228</v>
      </c>
      <c r="G18" s="18">
        <f t="shared" si="1"/>
        <v>657.888</v>
      </c>
      <c r="H18" s="18">
        <v>5352</v>
      </c>
      <c r="I18" s="34">
        <f t="shared" si="2"/>
        <v>19688.226</v>
      </c>
      <c r="J18" s="34">
        <f t="shared" si="3"/>
        <v>13781.7582</v>
      </c>
      <c r="K18" s="35">
        <v>2022</v>
      </c>
      <c r="L18" s="12" t="s">
        <v>78</v>
      </c>
      <c r="M18" s="36">
        <v>2022</v>
      </c>
    </row>
    <row r="19" ht="26.1" customHeight="1" spans="1:13">
      <c r="A19" s="14">
        <v>17</v>
      </c>
      <c r="B19" s="12" t="s">
        <v>79</v>
      </c>
      <c r="C19" s="12" t="s">
        <v>80</v>
      </c>
      <c r="D19" s="12">
        <v>38400</v>
      </c>
      <c r="E19" s="18">
        <v>7675.11</v>
      </c>
      <c r="F19" s="18">
        <f t="shared" si="0"/>
        <v>11212.8</v>
      </c>
      <c r="G19" s="18">
        <f t="shared" si="1"/>
        <v>1228.8</v>
      </c>
      <c r="H19" s="18">
        <v>5352</v>
      </c>
      <c r="I19" s="34">
        <f t="shared" si="2"/>
        <v>25468.71</v>
      </c>
      <c r="J19" s="34">
        <f t="shared" si="3"/>
        <v>17828.097</v>
      </c>
      <c r="K19" s="35">
        <v>2022</v>
      </c>
      <c r="L19" s="12" t="s">
        <v>81</v>
      </c>
      <c r="M19" s="36">
        <v>2022</v>
      </c>
    </row>
    <row r="20" ht="26.1" customHeight="1" spans="1:13">
      <c r="A20" s="14">
        <v>18</v>
      </c>
      <c r="B20" s="12" t="s">
        <v>82</v>
      </c>
      <c r="C20" s="12" t="s">
        <v>83</v>
      </c>
      <c r="D20" s="12">
        <v>485000</v>
      </c>
      <c r="E20" s="18">
        <v>7675.11</v>
      </c>
      <c r="F20" s="18">
        <f t="shared" si="0"/>
        <v>141620</v>
      </c>
      <c r="G20" s="18">
        <f t="shared" si="1"/>
        <v>15520</v>
      </c>
      <c r="H20" s="18">
        <v>5352</v>
      </c>
      <c r="I20" s="34">
        <f t="shared" si="2"/>
        <v>170167.11</v>
      </c>
      <c r="J20" s="34">
        <f t="shared" si="3"/>
        <v>119116.977</v>
      </c>
      <c r="K20" s="35">
        <v>2022</v>
      </c>
      <c r="L20" s="12" t="s">
        <v>84</v>
      </c>
      <c r="M20" s="36">
        <v>2022</v>
      </c>
    </row>
    <row r="21" ht="26.1" customHeight="1" spans="1:13">
      <c r="A21" s="14">
        <v>19</v>
      </c>
      <c r="B21" s="12" t="s">
        <v>85</v>
      </c>
      <c r="C21" s="12" t="s">
        <v>13</v>
      </c>
      <c r="D21" s="12">
        <v>14648</v>
      </c>
      <c r="E21" s="18">
        <v>7675.11</v>
      </c>
      <c r="F21" s="18">
        <f t="shared" si="0"/>
        <v>4277.216</v>
      </c>
      <c r="G21" s="18">
        <f t="shared" si="1"/>
        <v>468.736</v>
      </c>
      <c r="H21" s="18">
        <v>5352</v>
      </c>
      <c r="I21" s="34">
        <f t="shared" si="2"/>
        <v>17773.062</v>
      </c>
      <c r="J21" s="34">
        <f t="shared" si="3"/>
        <v>12441.1434</v>
      </c>
      <c r="K21" s="35">
        <v>2022</v>
      </c>
      <c r="L21" s="12" t="s">
        <v>86</v>
      </c>
      <c r="M21" s="36">
        <v>2022</v>
      </c>
    </row>
    <row r="22" ht="26.1" customHeight="1" spans="1:13">
      <c r="A22" s="14">
        <v>20</v>
      </c>
      <c r="B22" s="12" t="s">
        <v>87</v>
      </c>
      <c r="C22" s="12" t="s">
        <v>13</v>
      </c>
      <c r="D22" s="12">
        <v>118514</v>
      </c>
      <c r="E22" s="18">
        <v>7675.11</v>
      </c>
      <c r="F22" s="18">
        <f t="shared" si="0"/>
        <v>34606.088</v>
      </c>
      <c r="G22" s="18">
        <f t="shared" si="1"/>
        <v>3792.448</v>
      </c>
      <c r="H22" s="18">
        <v>5352</v>
      </c>
      <c r="I22" s="34">
        <f t="shared" si="2"/>
        <v>51425.646</v>
      </c>
      <c r="J22" s="34">
        <f t="shared" si="3"/>
        <v>35997.9522</v>
      </c>
      <c r="K22" s="35">
        <v>2022</v>
      </c>
      <c r="L22" s="12" t="s">
        <v>88</v>
      </c>
      <c r="M22" s="36">
        <v>2022</v>
      </c>
    </row>
    <row r="23" ht="26.1" customHeight="1" spans="1:13">
      <c r="A23" s="14">
        <v>21</v>
      </c>
      <c r="B23" s="12" t="s">
        <v>89</v>
      </c>
      <c r="C23" s="12" t="s">
        <v>13</v>
      </c>
      <c r="D23" s="12">
        <v>16484</v>
      </c>
      <c r="E23" s="18">
        <v>7675.11</v>
      </c>
      <c r="F23" s="18">
        <f t="shared" si="0"/>
        <v>4813.328</v>
      </c>
      <c r="G23" s="18">
        <f t="shared" si="1"/>
        <v>527.488</v>
      </c>
      <c r="H23" s="18">
        <v>5352</v>
      </c>
      <c r="I23" s="34">
        <f t="shared" si="2"/>
        <v>18367.926</v>
      </c>
      <c r="J23" s="34">
        <f t="shared" si="3"/>
        <v>12857.5482</v>
      </c>
      <c r="K23" s="35">
        <v>2022</v>
      </c>
      <c r="L23" s="12" t="s">
        <v>90</v>
      </c>
      <c r="M23" s="36">
        <v>2022</v>
      </c>
    </row>
    <row r="24" ht="26.1" customHeight="1" spans="1:13">
      <c r="A24" s="14">
        <v>22</v>
      </c>
      <c r="B24" s="12" t="s">
        <v>91</v>
      </c>
      <c r="C24" s="12" t="s">
        <v>44</v>
      </c>
      <c r="D24" s="12">
        <v>15475</v>
      </c>
      <c r="E24" s="18">
        <v>7675.11</v>
      </c>
      <c r="F24" s="18">
        <f t="shared" si="0"/>
        <v>4518.7</v>
      </c>
      <c r="G24" s="18">
        <f t="shared" si="1"/>
        <v>495.2</v>
      </c>
      <c r="H24" s="18">
        <v>5352</v>
      </c>
      <c r="I24" s="34">
        <f t="shared" si="2"/>
        <v>18041.01</v>
      </c>
      <c r="J24" s="34">
        <f t="shared" si="3"/>
        <v>12628.707</v>
      </c>
      <c r="K24" s="35">
        <v>2022</v>
      </c>
      <c r="L24" s="12" t="s">
        <v>92</v>
      </c>
      <c r="M24" s="36">
        <v>2022</v>
      </c>
    </row>
    <row r="25" ht="26.1" customHeight="1" spans="1:13">
      <c r="A25" s="14">
        <v>23</v>
      </c>
      <c r="B25" s="12" t="s">
        <v>77</v>
      </c>
      <c r="C25" s="12" t="s">
        <v>61</v>
      </c>
      <c r="D25" s="12">
        <v>10218</v>
      </c>
      <c r="E25" s="18">
        <v>7675.11</v>
      </c>
      <c r="F25" s="18">
        <f t="shared" si="0"/>
        <v>2983.656</v>
      </c>
      <c r="G25" s="18">
        <f t="shared" si="1"/>
        <v>326.976</v>
      </c>
      <c r="H25" s="18">
        <v>5352</v>
      </c>
      <c r="I25" s="37">
        <f t="shared" si="2"/>
        <v>16337.742</v>
      </c>
      <c r="J25" s="37">
        <f t="shared" si="3"/>
        <v>11436.4194</v>
      </c>
      <c r="K25" s="35">
        <v>2022</v>
      </c>
      <c r="L25" s="12" t="s">
        <v>93</v>
      </c>
      <c r="M25" s="36">
        <v>2022</v>
      </c>
    </row>
    <row r="26" ht="26.1" customHeight="1" spans="1:13">
      <c r="A26" s="14">
        <v>24</v>
      </c>
      <c r="B26" s="12" t="s">
        <v>94</v>
      </c>
      <c r="C26" s="12" t="s">
        <v>13</v>
      </c>
      <c r="D26" s="12">
        <v>17200</v>
      </c>
      <c r="E26" s="18">
        <v>7675.11</v>
      </c>
      <c r="F26" s="18">
        <f t="shared" si="0"/>
        <v>5022.4</v>
      </c>
      <c r="G26" s="18">
        <f t="shared" si="1"/>
        <v>550.4</v>
      </c>
      <c r="H26" s="18">
        <v>5352</v>
      </c>
      <c r="I26" s="37">
        <f t="shared" si="2"/>
        <v>18599.91</v>
      </c>
      <c r="J26" s="37">
        <f t="shared" si="3"/>
        <v>13019.937</v>
      </c>
      <c r="K26" s="35">
        <v>2022</v>
      </c>
      <c r="L26" s="12" t="s">
        <v>95</v>
      </c>
      <c r="M26" s="36">
        <v>2022</v>
      </c>
    </row>
    <row r="27" ht="26.1" customHeight="1" spans="1:13">
      <c r="A27" s="14">
        <v>25</v>
      </c>
      <c r="B27" s="12" t="s">
        <v>96</v>
      </c>
      <c r="C27" s="12" t="s">
        <v>13</v>
      </c>
      <c r="D27" s="12">
        <v>31320</v>
      </c>
      <c r="E27" s="18">
        <v>7675.11</v>
      </c>
      <c r="F27" s="18">
        <f t="shared" si="0"/>
        <v>9145.44</v>
      </c>
      <c r="G27" s="18">
        <f t="shared" si="1"/>
        <v>1002.24</v>
      </c>
      <c r="H27" s="18">
        <v>5352</v>
      </c>
      <c r="I27" s="37">
        <f t="shared" si="2"/>
        <v>23174.79</v>
      </c>
      <c r="J27" s="37">
        <f t="shared" si="3"/>
        <v>16222.353</v>
      </c>
      <c r="K27" s="35">
        <v>2022</v>
      </c>
      <c r="L27" s="12" t="s">
        <v>97</v>
      </c>
      <c r="M27" s="36">
        <v>2022</v>
      </c>
    </row>
    <row r="28" ht="26.1" customHeight="1" spans="1:13">
      <c r="A28" s="14">
        <v>26</v>
      </c>
      <c r="B28" s="12" t="s">
        <v>91</v>
      </c>
      <c r="C28" s="12" t="s">
        <v>44</v>
      </c>
      <c r="D28" s="12">
        <v>9484</v>
      </c>
      <c r="E28" s="18">
        <v>7675.11</v>
      </c>
      <c r="F28" s="18">
        <f t="shared" si="0"/>
        <v>2769.328</v>
      </c>
      <c r="G28" s="18">
        <f t="shared" si="1"/>
        <v>303.488</v>
      </c>
      <c r="H28" s="18">
        <v>5352</v>
      </c>
      <c r="I28" s="37">
        <f t="shared" si="2"/>
        <v>16099.926</v>
      </c>
      <c r="J28" s="37">
        <f t="shared" si="3"/>
        <v>11269.9482</v>
      </c>
      <c r="K28" s="35">
        <v>2022</v>
      </c>
      <c r="L28" s="12" t="s">
        <v>98</v>
      </c>
      <c r="M28" s="36">
        <v>2022</v>
      </c>
    </row>
    <row r="29" ht="26.1" customHeight="1" spans="1:13">
      <c r="A29" s="14">
        <v>27</v>
      </c>
      <c r="B29" s="27" t="s">
        <v>99</v>
      </c>
      <c r="C29" s="12" t="s">
        <v>44</v>
      </c>
      <c r="D29" s="12">
        <v>12154</v>
      </c>
      <c r="E29" s="18">
        <v>7675.11</v>
      </c>
      <c r="F29" s="18">
        <f t="shared" si="0"/>
        <v>3548.968</v>
      </c>
      <c r="G29" s="18">
        <f t="shared" si="1"/>
        <v>388.928</v>
      </c>
      <c r="H29" s="18">
        <v>5352</v>
      </c>
      <c r="I29" s="37">
        <f t="shared" si="2"/>
        <v>16965.006</v>
      </c>
      <c r="J29" s="37">
        <f t="shared" si="3"/>
        <v>11875.5042</v>
      </c>
      <c r="K29" s="35">
        <v>2021</v>
      </c>
      <c r="L29" s="12" t="s">
        <v>100</v>
      </c>
      <c r="M29" s="36">
        <v>2021</v>
      </c>
    </row>
    <row r="30" ht="26.1" customHeight="1" spans="1:13">
      <c r="A30" s="14">
        <v>28</v>
      </c>
      <c r="B30" s="19" t="s">
        <v>101</v>
      </c>
      <c r="C30" s="18" t="s">
        <v>13</v>
      </c>
      <c r="D30" s="28">
        <v>54397</v>
      </c>
      <c r="E30" s="18">
        <v>7675.11</v>
      </c>
      <c r="F30" s="18">
        <f>54397*0.292*1.3+55593*0.292</f>
        <v>36882.2572</v>
      </c>
      <c r="G30" s="18">
        <f>54397*0.032</f>
        <v>1740.704</v>
      </c>
      <c r="H30" s="18">
        <v>5352</v>
      </c>
      <c r="I30" s="18">
        <f t="shared" si="2"/>
        <v>51650.0712</v>
      </c>
      <c r="J30" s="18">
        <f t="shared" si="3"/>
        <v>36155.04984</v>
      </c>
      <c r="K30" s="35">
        <v>2021</v>
      </c>
      <c r="L30" s="12" t="s">
        <v>102</v>
      </c>
      <c r="M30" s="36">
        <v>2021</v>
      </c>
    </row>
    <row r="31" ht="26.1" customHeight="1" spans="1:13">
      <c r="A31" s="14">
        <v>29</v>
      </c>
      <c r="B31" s="19" t="s">
        <v>103</v>
      </c>
      <c r="C31" s="18" t="s">
        <v>13</v>
      </c>
      <c r="D31" s="28">
        <v>28784</v>
      </c>
      <c r="E31" s="18">
        <v>7675.11</v>
      </c>
      <c r="F31" s="18">
        <f>28784*0.292*1.3+30*0.292</f>
        <v>10935.1664</v>
      </c>
      <c r="G31" s="18">
        <f>28784*0.032</f>
        <v>921.088</v>
      </c>
      <c r="H31" s="18">
        <v>5352</v>
      </c>
      <c r="I31" s="18">
        <f t="shared" si="2"/>
        <v>24883.3644</v>
      </c>
      <c r="J31" s="18">
        <f t="shared" si="3"/>
        <v>17418.35508</v>
      </c>
      <c r="K31" s="35">
        <v>2021</v>
      </c>
      <c r="L31" s="12" t="s">
        <v>104</v>
      </c>
      <c r="M31" s="36">
        <v>2021</v>
      </c>
    </row>
    <row r="32" ht="26.1" customHeight="1" spans="1:13">
      <c r="A32" s="14"/>
      <c r="B32" s="19"/>
      <c r="C32" s="18"/>
      <c r="D32" s="28">
        <f>SUM(D3:D31)</f>
        <v>1262666</v>
      </c>
      <c r="E32" s="28">
        <f t="shared" ref="E32:J32" si="4">SUM(E3:E31)</f>
        <v>222578.19</v>
      </c>
      <c r="F32" s="28">
        <f t="shared" si="4"/>
        <v>392227.0436</v>
      </c>
      <c r="G32" s="28">
        <f t="shared" si="4"/>
        <v>40405.312</v>
      </c>
      <c r="H32" s="28">
        <f t="shared" si="4"/>
        <v>155208</v>
      </c>
      <c r="I32" s="28">
        <f t="shared" si="4"/>
        <v>810418.5456</v>
      </c>
      <c r="J32" s="28">
        <f t="shared" si="4"/>
        <v>567292.98192</v>
      </c>
      <c r="K32" s="28"/>
      <c r="L32" s="12"/>
      <c r="M32" s="36"/>
    </row>
    <row r="33" ht="35.1" customHeight="1" spans="1:13">
      <c r="A33" s="25" t="s">
        <v>130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6"/>
    </row>
    <row r="34" ht="26.1" customHeight="1" spans="1:13">
      <c r="A34" s="4" t="s">
        <v>1</v>
      </c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33" t="s">
        <v>127</v>
      </c>
      <c r="L34" s="4" t="s">
        <v>11</v>
      </c>
      <c r="M34" s="36"/>
    </row>
    <row r="35" ht="26.1" customHeight="1" spans="1:13">
      <c r="A35" s="14">
        <v>1</v>
      </c>
      <c r="B35" s="21" t="s">
        <v>105</v>
      </c>
      <c r="C35" s="10" t="s">
        <v>36</v>
      </c>
      <c r="D35" s="29">
        <v>187846</v>
      </c>
      <c r="E35" s="30">
        <f>2558.37*5*1.06</f>
        <v>13559.361</v>
      </c>
      <c r="F35" s="30">
        <f>187846*0.292*1.06</f>
        <v>58142.09392</v>
      </c>
      <c r="G35" s="30">
        <f>187846*0.032*1.06</f>
        <v>6371.73632</v>
      </c>
      <c r="H35" s="30">
        <v>5352</v>
      </c>
      <c r="I35" s="30">
        <f t="shared" si="2"/>
        <v>83425.19124</v>
      </c>
      <c r="J35" s="30">
        <f t="shared" si="3"/>
        <v>58397.633868</v>
      </c>
      <c r="K35" s="35">
        <v>2022</v>
      </c>
      <c r="L35" s="12" t="s">
        <v>131</v>
      </c>
      <c r="M35" s="36">
        <v>2022</v>
      </c>
    </row>
    <row r="36" ht="26.1" customHeight="1" spans="1:13">
      <c r="A36" s="14"/>
      <c r="B36" s="21"/>
      <c r="C36" s="10"/>
      <c r="D36" s="29">
        <v>153448</v>
      </c>
      <c r="E36" s="30">
        <f>2558.37*4*1.06</f>
        <v>10847.4888</v>
      </c>
      <c r="F36" s="30">
        <f>153448*0.292*1.06+31247*0.292</f>
        <v>56619.34896</v>
      </c>
      <c r="G36" s="30">
        <f>153448*0.032*1.06</f>
        <v>5204.95616</v>
      </c>
      <c r="H36" s="30">
        <v>5352</v>
      </c>
      <c r="I36" s="30">
        <f t="shared" si="2"/>
        <v>78023.79392</v>
      </c>
      <c r="J36" s="30">
        <f t="shared" si="3"/>
        <v>54616.655744</v>
      </c>
      <c r="K36" s="35">
        <v>2022</v>
      </c>
      <c r="L36" s="12" t="s">
        <v>131</v>
      </c>
      <c r="M36" s="36">
        <v>2022</v>
      </c>
    </row>
    <row r="37" ht="26.1" customHeight="1" spans="1:13">
      <c r="A37" s="14">
        <v>2</v>
      </c>
      <c r="B37" s="21" t="s">
        <v>106</v>
      </c>
      <c r="C37" s="10" t="s">
        <v>36</v>
      </c>
      <c r="D37" s="29">
        <v>208058</v>
      </c>
      <c r="E37" s="30">
        <f>2558.37*5*1.06</f>
        <v>13559.361</v>
      </c>
      <c r="F37" s="30">
        <f>208058*0.292*1.06+46*0.292</f>
        <v>64411.54416</v>
      </c>
      <c r="G37" s="30">
        <f>208058*0.032*1.06</f>
        <v>7057.32736</v>
      </c>
      <c r="H37" s="30">
        <v>5352</v>
      </c>
      <c r="I37" s="30">
        <f t="shared" si="2"/>
        <v>90380.23252</v>
      </c>
      <c r="J37" s="30">
        <f t="shared" si="3"/>
        <v>63266.162764</v>
      </c>
      <c r="K37" s="35">
        <v>2022</v>
      </c>
      <c r="L37" s="12" t="s">
        <v>132</v>
      </c>
      <c r="M37" s="36">
        <v>2022</v>
      </c>
    </row>
    <row r="38" ht="26.1" customHeight="1" spans="1:13">
      <c r="A38" s="14">
        <v>3</v>
      </c>
      <c r="B38" s="21" t="s">
        <v>107</v>
      </c>
      <c r="C38" s="10" t="s">
        <v>36</v>
      </c>
      <c r="D38" s="29">
        <v>96227</v>
      </c>
      <c r="E38" s="30">
        <f>7675.11*1.06</f>
        <v>8135.6166</v>
      </c>
      <c r="F38" s="30">
        <f>96227*0.328*1.06+24897*0.328</f>
        <v>41622.41936</v>
      </c>
      <c r="G38" s="30">
        <f>96227*0.041*1.06</f>
        <v>4182.02542</v>
      </c>
      <c r="H38" s="30">
        <v>5352</v>
      </c>
      <c r="I38" s="30">
        <f t="shared" si="2"/>
        <v>59292.06138</v>
      </c>
      <c r="J38" s="30">
        <f t="shared" si="3"/>
        <v>41504.442966</v>
      </c>
      <c r="K38" s="35">
        <v>2022</v>
      </c>
      <c r="L38" s="12" t="s">
        <v>133</v>
      </c>
      <c r="M38" s="36">
        <v>2022</v>
      </c>
    </row>
    <row r="39" ht="26.1" customHeight="1" spans="1:13">
      <c r="A39" s="14">
        <v>4</v>
      </c>
      <c r="B39" s="21" t="s">
        <v>108</v>
      </c>
      <c r="C39" s="10" t="s">
        <v>36</v>
      </c>
      <c r="D39" s="29">
        <v>235760</v>
      </c>
      <c r="E39" s="30">
        <f>2558.37*6*1.06</f>
        <v>16271.2332</v>
      </c>
      <c r="F39" s="30">
        <f>235760*0.292*1.06+7168*0.292</f>
        <v>75065.4912</v>
      </c>
      <c r="G39" s="30">
        <f>235760*0.032*1.06</f>
        <v>7996.9792</v>
      </c>
      <c r="H39" s="30">
        <v>5352</v>
      </c>
      <c r="I39" s="30">
        <f t="shared" si="2"/>
        <v>104685.7036</v>
      </c>
      <c r="J39" s="30">
        <f t="shared" si="3"/>
        <v>73279.99252</v>
      </c>
      <c r="K39" s="35">
        <v>2022</v>
      </c>
      <c r="L39" s="12" t="s">
        <v>133</v>
      </c>
      <c r="M39" s="36">
        <v>2022</v>
      </c>
    </row>
    <row r="40" ht="26.1" customHeight="1" spans="1:13">
      <c r="A40" s="14">
        <v>5</v>
      </c>
      <c r="B40" s="21" t="s">
        <v>109</v>
      </c>
      <c r="C40" s="10" t="s">
        <v>36</v>
      </c>
      <c r="D40" s="29">
        <v>66092</v>
      </c>
      <c r="E40" s="30">
        <v>7675.11</v>
      </c>
      <c r="F40" s="30">
        <f>66092*0.292+3095*0.292</f>
        <v>20202.604</v>
      </c>
      <c r="G40" s="30">
        <f>66092*0.032</f>
        <v>2114.944</v>
      </c>
      <c r="H40" s="30">
        <v>5352</v>
      </c>
      <c r="I40" s="30">
        <f t="shared" si="2"/>
        <v>35344.658</v>
      </c>
      <c r="J40" s="30">
        <f t="shared" si="3"/>
        <v>24741.2606</v>
      </c>
      <c r="K40" s="35">
        <v>2022</v>
      </c>
      <c r="L40" s="12"/>
      <c r="M40" s="36">
        <v>2022</v>
      </c>
    </row>
    <row r="41" ht="26.1" customHeight="1" spans="1:13">
      <c r="A41" s="14">
        <v>6</v>
      </c>
      <c r="B41" s="21" t="s">
        <v>110</v>
      </c>
      <c r="C41" s="10" t="s">
        <v>13</v>
      </c>
      <c r="D41" s="31" t="s">
        <v>134</v>
      </c>
      <c r="E41" s="30">
        <v>0</v>
      </c>
      <c r="F41" s="30">
        <f>648.58*11</f>
        <v>7134.38</v>
      </c>
      <c r="G41" s="30">
        <v>0</v>
      </c>
      <c r="H41" s="30"/>
      <c r="I41" s="30">
        <f t="shared" si="2"/>
        <v>7134.38</v>
      </c>
      <c r="J41" s="30">
        <f t="shared" si="3"/>
        <v>4994.066</v>
      </c>
      <c r="K41" s="35">
        <v>2022</v>
      </c>
      <c r="L41" s="12"/>
      <c r="M41" s="36">
        <v>2022</v>
      </c>
    </row>
    <row r="42" ht="26.1" customHeight="1" spans="1:13">
      <c r="A42" s="14">
        <v>7</v>
      </c>
      <c r="B42" s="21" t="s">
        <v>112</v>
      </c>
      <c r="C42" s="10" t="s">
        <v>13</v>
      </c>
      <c r="D42" s="31">
        <v>658100</v>
      </c>
      <c r="E42" s="30">
        <v>23025.33</v>
      </c>
      <c r="F42" s="30">
        <f>658100*0.292*1.06+46*0.292</f>
        <v>203708.544</v>
      </c>
      <c r="G42" s="30">
        <f>658100*0.032</f>
        <v>21059.2</v>
      </c>
      <c r="H42" s="30">
        <v>5352</v>
      </c>
      <c r="I42" s="30">
        <f t="shared" si="2"/>
        <v>253145.074</v>
      </c>
      <c r="J42" s="30">
        <f t="shared" si="3"/>
        <v>177201.5518</v>
      </c>
      <c r="K42" s="35">
        <v>2022</v>
      </c>
      <c r="L42" s="12"/>
      <c r="M42" s="36">
        <v>2022</v>
      </c>
    </row>
    <row r="43" ht="26.1" customHeight="1" spans="1:13">
      <c r="A43" s="14">
        <v>8</v>
      </c>
      <c r="B43" s="21" t="s">
        <v>113</v>
      </c>
      <c r="C43" s="10" t="s">
        <v>13</v>
      </c>
      <c r="D43" s="31">
        <v>656956</v>
      </c>
      <c r="E43" s="30">
        <v>23025.33</v>
      </c>
      <c r="F43" s="30">
        <f>656956*0.292*1.06+46*0.292</f>
        <v>203354.45312</v>
      </c>
      <c r="G43" s="30">
        <f>656956*0.032</f>
        <v>21022.592</v>
      </c>
      <c r="H43" s="30">
        <v>5352</v>
      </c>
      <c r="I43" s="30">
        <f t="shared" si="2"/>
        <v>252754.37512</v>
      </c>
      <c r="J43" s="30">
        <f t="shared" si="3"/>
        <v>176928.062584</v>
      </c>
      <c r="K43" s="35">
        <v>2022</v>
      </c>
      <c r="L43" s="12"/>
      <c r="M43" s="36">
        <v>2022</v>
      </c>
    </row>
    <row r="44" ht="26.1" customHeight="1" spans="1:13">
      <c r="A44" s="14">
        <v>9</v>
      </c>
      <c r="B44" s="21" t="s">
        <v>114</v>
      </c>
      <c r="C44" s="10" t="s">
        <v>13</v>
      </c>
      <c r="D44" s="31">
        <v>77368</v>
      </c>
      <c r="E44" s="30">
        <v>7675.11</v>
      </c>
      <c r="F44" s="30">
        <f>773684*0.292*1.3</f>
        <v>293690.4464</v>
      </c>
      <c r="G44" s="30">
        <f>77368*0.032</f>
        <v>2475.776</v>
      </c>
      <c r="H44" s="30">
        <v>5352</v>
      </c>
      <c r="I44" s="30">
        <f t="shared" ref="I44:I52" si="5">E44+F44+G44+H44</f>
        <v>309193.3324</v>
      </c>
      <c r="J44" s="30">
        <f t="shared" ref="J44:J52" si="6">I44*0.7</f>
        <v>216435.33268</v>
      </c>
      <c r="K44" s="35">
        <v>2022</v>
      </c>
      <c r="L44" s="12"/>
      <c r="M44" s="36">
        <v>2022</v>
      </c>
    </row>
    <row r="45" ht="26.1" customHeight="1" spans="1:13">
      <c r="A45" s="14">
        <v>10</v>
      </c>
      <c r="B45" s="21" t="s">
        <v>115</v>
      </c>
      <c r="C45" s="10" t="s">
        <v>13</v>
      </c>
      <c r="D45" s="31">
        <v>269434</v>
      </c>
      <c r="E45" s="30">
        <v>7675.11</v>
      </c>
      <c r="F45" s="30">
        <f>269434*0.292*1.3</f>
        <v>102277.1464</v>
      </c>
      <c r="G45" s="30">
        <f>269434*0.032</f>
        <v>8621.888</v>
      </c>
      <c r="H45" s="30">
        <v>5352</v>
      </c>
      <c r="I45" s="30">
        <f t="shared" si="5"/>
        <v>123926.1444</v>
      </c>
      <c r="J45" s="30">
        <f t="shared" si="6"/>
        <v>86748.30108</v>
      </c>
      <c r="K45" s="35">
        <v>2022</v>
      </c>
      <c r="L45" s="12"/>
      <c r="M45" s="36">
        <v>2022</v>
      </c>
    </row>
    <row r="46" ht="26.1" customHeight="1" spans="1:13">
      <c r="A46" s="14">
        <v>11</v>
      </c>
      <c r="B46" s="21" t="s">
        <v>116</v>
      </c>
      <c r="C46" s="10" t="s">
        <v>13</v>
      </c>
      <c r="D46" s="31">
        <v>27369</v>
      </c>
      <c r="E46" s="30">
        <v>7675.11</v>
      </c>
      <c r="F46" s="30">
        <f>27369*0.292*1.3</f>
        <v>10389.2724</v>
      </c>
      <c r="G46" s="30">
        <f>27369*0.032</f>
        <v>875.808</v>
      </c>
      <c r="H46" s="30">
        <v>5352</v>
      </c>
      <c r="I46" s="30">
        <f t="shared" si="5"/>
        <v>24292.1904</v>
      </c>
      <c r="J46" s="30">
        <f t="shared" si="6"/>
        <v>17004.53328</v>
      </c>
      <c r="K46" s="35">
        <v>2022</v>
      </c>
      <c r="L46" s="12"/>
      <c r="M46" s="36">
        <v>2022</v>
      </c>
    </row>
    <row r="47" ht="26.1" customHeight="1" spans="1:13">
      <c r="A47" s="14">
        <v>12</v>
      </c>
      <c r="B47" s="21" t="s">
        <v>117</v>
      </c>
      <c r="C47" s="10" t="s">
        <v>13</v>
      </c>
      <c r="D47" s="31">
        <v>153816</v>
      </c>
      <c r="E47" s="30">
        <v>7675.11</v>
      </c>
      <c r="F47" s="30">
        <f>153816*0.292*1.3</f>
        <v>58388.5536</v>
      </c>
      <c r="G47" s="30">
        <f>153816*0.032</f>
        <v>4922.112</v>
      </c>
      <c r="H47" s="30">
        <v>5352</v>
      </c>
      <c r="I47" s="30">
        <f t="shared" si="5"/>
        <v>76337.7756</v>
      </c>
      <c r="J47" s="30">
        <f t="shared" si="6"/>
        <v>53436.44292</v>
      </c>
      <c r="K47" s="35">
        <v>2022</v>
      </c>
      <c r="L47" s="12"/>
      <c r="M47" s="36">
        <v>2022</v>
      </c>
    </row>
    <row r="48" ht="26.1" customHeight="1" spans="1:13">
      <c r="A48" s="14">
        <v>13</v>
      </c>
      <c r="B48" s="21" t="s">
        <v>118</v>
      </c>
      <c r="C48" s="10" t="s">
        <v>36</v>
      </c>
      <c r="D48" s="31">
        <v>105516</v>
      </c>
      <c r="E48" s="30">
        <v>7675.11</v>
      </c>
      <c r="F48" s="30">
        <f>105516*0.292*1.3</f>
        <v>40053.8736</v>
      </c>
      <c r="G48" s="30">
        <f>105516*0.032</f>
        <v>3376.512</v>
      </c>
      <c r="H48" s="30">
        <v>5352</v>
      </c>
      <c r="I48" s="30">
        <f t="shared" si="5"/>
        <v>56457.4956</v>
      </c>
      <c r="J48" s="30">
        <f t="shared" si="6"/>
        <v>39520.24692</v>
      </c>
      <c r="K48" s="35">
        <v>2022</v>
      </c>
      <c r="L48" s="12"/>
      <c r="M48" s="36">
        <v>2022</v>
      </c>
    </row>
    <row r="49" ht="26.1" customHeight="1" spans="1:13">
      <c r="A49" s="14">
        <v>14</v>
      </c>
      <c r="B49" s="21" t="s">
        <v>119</v>
      </c>
      <c r="C49" s="10" t="s">
        <v>36</v>
      </c>
      <c r="D49" s="31">
        <v>298140</v>
      </c>
      <c r="E49" s="30">
        <v>7675.11</v>
      </c>
      <c r="F49" s="30">
        <f>298140*0.292*1.3</f>
        <v>113173.944</v>
      </c>
      <c r="G49" s="30">
        <f>298140*0.032</f>
        <v>9540.48</v>
      </c>
      <c r="H49" s="30">
        <v>5352</v>
      </c>
      <c r="I49" s="30">
        <f t="shared" si="5"/>
        <v>135741.534</v>
      </c>
      <c r="J49" s="30">
        <f t="shared" si="6"/>
        <v>95019.0738</v>
      </c>
      <c r="K49" s="35">
        <v>2022</v>
      </c>
      <c r="L49" s="12"/>
      <c r="M49" s="36">
        <v>2022</v>
      </c>
    </row>
    <row r="50" ht="26.1" customHeight="1" spans="1:13">
      <c r="A50" s="14">
        <v>15</v>
      </c>
      <c r="B50" s="21" t="s">
        <v>120</v>
      </c>
      <c r="C50" s="10" t="s">
        <v>36</v>
      </c>
      <c r="D50" s="31">
        <v>5001</v>
      </c>
      <c r="E50" s="30">
        <v>7675.11</v>
      </c>
      <c r="F50" s="30">
        <f>5001*0.292*1.3</f>
        <v>1898.3796</v>
      </c>
      <c r="G50" s="30">
        <f>5001*0.032</f>
        <v>160.032</v>
      </c>
      <c r="H50" s="30">
        <v>5352</v>
      </c>
      <c r="I50" s="30">
        <f t="shared" si="5"/>
        <v>15085.5216</v>
      </c>
      <c r="J50" s="30">
        <f t="shared" si="6"/>
        <v>10559.86512</v>
      </c>
      <c r="K50" s="35">
        <v>2022</v>
      </c>
      <c r="L50" s="12"/>
      <c r="M50" s="36">
        <v>2022</v>
      </c>
    </row>
    <row r="51" ht="26.1" customHeight="1" spans="1:13">
      <c r="A51" s="14">
        <v>16</v>
      </c>
      <c r="B51" s="21" t="s">
        <v>121</v>
      </c>
      <c r="C51" s="10" t="s">
        <v>13</v>
      </c>
      <c r="D51" s="31">
        <v>112940</v>
      </c>
      <c r="E51" s="30">
        <v>7675.11</v>
      </c>
      <c r="F51" s="30">
        <f>112940*0.292*1.3</f>
        <v>42872.024</v>
      </c>
      <c r="G51" s="30">
        <f>112940*0.032</f>
        <v>3614.08</v>
      </c>
      <c r="H51" s="30">
        <v>5352</v>
      </c>
      <c r="I51" s="30">
        <f t="shared" si="5"/>
        <v>59513.214</v>
      </c>
      <c r="J51" s="30">
        <f t="shared" si="6"/>
        <v>41659.2498</v>
      </c>
      <c r="K51" s="35">
        <v>2022</v>
      </c>
      <c r="L51" s="12"/>
      <c r="M51" s="36">
        <v>2022</v>
      </c>
    </row>
    <row r="52" ht="26.1" customHeight="1" spans="1:13">
      <c r="A52" s="14">
        <v>17</v>
      </c>
      <c r="B52" s="21" t="s">
        <v>122</v>
      </c>
      <c r="C52" s="10" t="s">
        <v>13</v>
      </c>
      <c r="D52" s="31">
        <v>11005</v>
      </c>
      <c r="E52" s="30">
        <v>7675.11</v>
      </c>
      <c r="F52" s="30">
        <f>11005*0.292*1.3</f>
        <v>4177.498</v>
      </c>
      <c r="G52" s="30">
        <f>11005*0.032</f>
        <v>352.16</v>
      </c>
      <c r="H52" s="30">
        <v>5352</v>
      </c>
      <c r="I52" s="30">
        <f t="shared" si="5"/>
        <v>17556.768</v>
      </c>
      <c r="J52" s="30">
        <f t="shared" si="6"/>
        <v>12289.7376</v>
      </c>
      <c r="K52" s="35">
        <v>2022</v>
      </c>
      <c r="L52" s="12"/>
      <c r="M52" s="36">
        <v>2022</v>
      </c>
    </row>
    <row r="53" ht="26.1" customHeight="1" spans="1:13">
      <c r="A53" s="14">
        <v>18</v>
      </c>
      <c r="B53" s="21" t="s">
        <v>123</v>
      </c>
      <c r="C53" s="10" t="s">
        <v>13</v>
      </c>
      <c r="D53" s="29">
        <v>73421</v>
      </c>
      <c r="E53" s="30">
        <v>7675.11</v>
      </c>
      <c r="F53" s="30">
        <f>734241*0.292*1.3</f>
        <v>278717.8836</v>
      </c>
      <c r="G53" s="30">
        <f>73421*0.032</f>
        <v>2349.472</v>
      </c>
      <c r="H53" s="30">
        <v>5352</v>
      </c>
      <c r="I53" s="30">
        <f t="shared" ref="I53" si="7">E53+F53+G53+H53</f>
        <v>294094.4656</v>
      </c>
      <c r="J53" s="30">
        <f t="shared" ref="J53" si="8">I53*0.7</f>
        <v>205866.12592</v>
      </c>
      <c r="K53" s="35">
        <v>2022</v>
      </c>
      <c r="L53" s="12"/>
      <c r="M53" s="36">
        <v>2022</v>
      </c>
    </row>
    <row r="54" ht="26.1" customHeight="1" spans="1:13">
      <c r="A54" s="14">
        <v>19</v>
      </c>
      <c r="B54" s="10" t="s">
        <v>12</v>
      </c>
      <c r="C54" s="10" t="s">
        <v>13</v>
      </c>
      <c r="D54" s="32">
        <v>11372</v>
      </c>
      <c r="E54" s="18">
        <v>7675.11</v>
      </c>
      <c r="F54" s="30">
        <f>11372*0.328+6013*0.328</f>
        <v>5702.28</v>
      </c>
      <c r="G54" s="30">
        <f>11372*0.041</f>
        <v>466.252</v>
      </c>
      <c r="H54" s="30">
        <v>5352</v>
      </c>
      <c r="I54" s="30">
        <f t="shared" ref="I54:I78" si="9">E54+F54+G54+H54</f>
        <v>19195.642</v>
      </c>
      <c r="J54" s="30">
        <f t="shared" ref="J54:J78" si="10">I54*0.7</f>
        <v>13436.9494</v>
      </c>
      <c r="K54" s="35">
        <v>2021</v>
      </c>
      <c r="L54" s="12"/>
      <c r="M54" s="36">
        <v>2021</v>
      </c>
    </row>
    <row r="55" ht="26.1" customHeight="1" spans="1:13">
      <c r="A55" s="14">
        <v>20</v>
      </c>
      <c r="B55" s="10" t="s">
        <v>15</v>
      </c>
      <c r="C55" s="10" t="s">
        <v>13</v>
      </c>
      <c r="D55" s="32">
        <v>2514</v>
      </c>
      <c r="E55" s="30">
        <v>7675.11</v>
      </c>
      <c r="F55" s="30">
        <f>2514*0.292*1.3</f>
        <v>954.3144</v>
      </c>
      <c r="G55" s="30">
        <f>2514*0.032</f>
        <v>80.448</v>
      </c>
      <c r="H55" s="30">
        <v>5352</v>
      </c>
      <c r="I55" s="30">
        <f t="shared" si="9"/>
        <v>14061.8724</v>
      </c>
      <c r="J55" s="30">
        <f t="shared" si="10"/>
        <v>9843.31068</v>
      </c>
      <c r="K55" s="35">
        <v>2021</v>
      </c>
      <c r="L55" s="12"/>
      <c r="M55" s="36">
        <v>2021</v>
      </c>
    </row>
    <row r="56" ht="26.1" customHeight="1" spans="1:13">
      <c r="A56" s="14">
        <v>21</v>
      </c>
      <c r="B56" s="10" t="s">
        <v>16</v>
      </c>
      <c r="C56" s="10" t="s">
        <v>13</v>
      </c>
      <c r="D56" s="32">
        <v>36981</v>
      </c>
      <c r="E56" s="30">
        <v>7675.11</v>
      </c>
      <c r="F56" s="30">
        <f>36981*0.292*1.3+2016*0.292</f>
        <v>14626.6596</v>
      </c>
      <c r="G56" s="30">
        <f>36981*0.032</f>
        <v>1183.392</v>
      </c>
      <c r="H56" s="30">
        <v>5352</v>
      </c>
      <c r="I56" s="30">
        <f t="shared" si="9"/>
        <v>28837.1616</v>
      </c>
      <c r="J56" s="30">
        <f t="shared" si="10"/>
        <v>20186.01312</v>
      </c>
      <c r="K56" s="35">
        <v>2021</v>
      </c>
      <c r="L56" s="12"/>
      <c r="M56" s="36">
        <v>2021</v>
      </c>
    </row>
    <row r="57" ht="26.1" customHeight="1" spans="1:13">
      <c r="A57" s="14">
        <v>22</v>
      </c>
      <c r="B57" s="10" t="s">
        <v>17</v>
      </c>
      <c r="C57" s="10" t="s">
        <v>13</v>
      </c>
      <c r="D57" s="32">
        <v>195686</v>
      </c>
      <c r="E57" s="30">
        <f>2558.37*5</f>
        <v>12791.85</v>
      </c>
      <c r="F57" s="30">
        <f>195686*0.292*1.3+14171*0.292</f>
        <v>78420.3376</v>
      </c>
      <c r="G57" s="30">
        <f>195686*0.032</f>
        <v>6261.952</v>
      </c>
      <c r="H57" s="30">
        <f>5352*8</f>
        <v>42816</v>
      </c>
      <c r="I57" s="30">
        <f t="shared" si="9"/>
        <v>140290.1396</v>
      </c>
      <c r="J57" s="30">
        <f t="shared" si="10"/>
        <v>98203.09772</v>
      </c>
      <c r="K57" s="35">
        <v>2021</v>
      </c>
      <c r="L57" s="12"/>
      <c r="M57" s="36">
        <v>2021</v>
      </c>
    </row>
    <row r="58" ht="26.1" customHeight="1" spans="1:13">
      <c r="A58" s="14">
        <v>23</v>
      </c>
      <c r="B58" s="10" t="s">
        <v>18</v>
      </c>
      <c r="C58" s="10" t="s">
        <v>19</v>
      </c>
      <c r="D58" s="32">
        <v>58529</v>
      </c>
      <c r="E58" s="30">
        <v>7675.11</v>
      </c>
      <c r="F58" s="30">
        <f>58529*0.292*1.3</f>
        <v>22217.6084</v>
      </c>
      <c r="G58" s="30">
        <f>58529*0.032</f>
        <v>1872.928</v>
      </c>
      <c r="H58" s="30">
        <v>5352</v>
      </c>
      <c r="I58" s="30">
        <f t="shared" si="9"/>
        <v>37117.6464</v>
      </c>
      <c r="J58" s="30">
        <f t="shared" si="10"/>
        <v>25982.35248</v>
      </c>
      <c r="K58" s="35">
        <v>2021</v>
      </c>
      <c r="L58" s="12"/>
      <c r="M58" s="36">
        <v>2021</v>
      </c>
    </row>
    <row r="59" ht="26.1" customHeight="1" spans="1:13">
      <c r="A59" s="14"/>
      <c r="B59" s="10"/>
      <c r="C59" s="10"/>
      <c r="D59" s="32">
        <v>3237</v>
      </c>
      <c r="E59" s="30">
        <v>7675.11</v>
      </c>
      <c r="F59" s="30">
        <f>3237*0.292</f>
        <v>945.204</v>
      </c>
      <c r="G59" s="30">
        <f>3237*0.032</f>
        <v>103.584</v>
      </c>
      <c r="H59" s="30">
        <v>5352</v>
      </c>
      <c r="I59" s="30">
        <f t="shared" si="9"/>
        <v>14075.898</v>
      </c>
      <c r="J59" s="30">
        <f t="shared" si="10"/>
        <v>9853.1286</v>
      </c>
      <c r="K59" s="35">
        <v>2021</v>
      </c>
      <c r="L59" s="12"/>
      <c r="M59" s="36">
        <v>2021</v>
      </c>
    </row>
    <row r="60" ht="26.1" customHeight="1" spans="1:13">
      <c r="A60" s="14">
        <v>24</v>
      </c>
      <c r="B60" s="10" t="s">
        <v>20</v>
      </c>
      <c r="C60" s="10" t="s">
        <v>21</v>
      </c>
      <c r="D60" s="32">
        <v>14308</v>
      </c>
      <c r="E60" s="30">
        <v>7675.11</v>
      </c>
      <c r="F60" s="30">
        <f>14308*0.292</f>
        <v>4177.936</v>
      </c>
      <c r="G60" s="30">
        <f>14308*0.032</f>
        <v>457.856</v>
      </c>
      <c r="H60" s="30">
        <v>5352</v>
      </c>
      <c r="I60" s="30">
        <f t="shared" si="9"/>
        <v>17662.902</v>
      </c>
      <c r="J60" s="30">
        <f t="shared" si="10"/>
        <v>12364.0314</v>
      </c>
      <c r="K60" s="35">
        <v>2021</v>
      </c>
      <c r="L60" s="12"/>
      <c r="M60" s="36">
        <v>2021</v>
      </c>
    </row>
    <row r="61" ht="26.1" customHeight="1" spans="1:13">
      <c r="A61" s="14"/>
      <c r="B61" s="10"/>
      <c r="C61" s="10"/>
      <c r="D61" s="32">
        <v>11896</v>
      </c>
      <c r="E61" s="30">
        <v>7675.11</v>
      </c>
      <c r="F61" s="30">
        <f>11896*0.292</f>
        <v>3473.632</v>
      </c>
      <c r="G61" s="30">
        <f>11896*0.032</f>
        <v>380.672</v>
      </c>
      <c r="H61" s="30">
        <v>5352</v>
      </c>
      <c r="I61" s="30">
        <f t="shared" si="9"/>
        <v>16881.414</v>
      </c>
      <c r="J61" s="30">
        <f t="shared" si="10"/>
        <v>11816.9898</v>
      </c>
      <c r="K61" s="35">
        <v>2021</v>
      </c>
      <c r="L61" s="12"/>
      <c r="M61" s="36">
        <v>2021</v>
      </c>
    </row>
    <row r="62" ht="26.1" customHeight="1" spans="1:13">
      <c r="A62" s="14">
        <v>25</v>
      </c>
      <c r="B62" s="10" t="s">
        <v>22</v>
      </c>
      <c r="C62" s="10" t="s">
        <v>23</v>
      </c>
      <c r="D62" s="32">
        <v>693081</v>
      </c>
      <c r="E62" s="30">
        <f>2558.37*15</f>
        <v>38375.55</v>
      </c>
      <c r="F62" s="30">
        <f>693081*0.292</f>
        <v>202379.652</v>
      </c>
      <c r="G62" s="30">
        <f>693081*0.032</f>
        <v>22178.592</v>
      </c>
      <c r="H62" s="30">
        <v>5352</v>
      </c>
      <c r="I62" s="30">
        <f t="shared" si="9"/>
        <v>268285.794</v>
      </c>
      <c r="J62" s="30">
        <f t="shared" si="10"/>
        <v>187800.0558</v>
      </c>
      <c r="K62" s="35">
        <v>2021</v>
      </c>
      <c r="L62" s="12"/>
      <c r="M62" s="36">
        <v>2021</v>
      </c>
    </row>
    <row r="63" ht="26.1" customHeight="1" spans="1:13">
      <c r="A63" s="14">
        <v>26</v>
      </c>
      <c r="B63" s="10" t="s">
        <v>24</v>
      </c>
      <c r="C63" s="10" t="s">
        <v>25</v>
      </c>
      <c r="D63" s="32">
        <v>329</v>
      </c>
      <c r="E63" s="30">
        <v>7675.11</v>
      </c>
      <c r="F63" s="30">
        <f>329*0.328</f>
        <v>107.912</v>
      </c>
      <c r="G63" s="30">
        <f>329*0.041</f>
        <v>13.489</v>
      </c>
      <c r="H63" s="30">
        <v>5352</v>
      </c>
      <c r="I63" s="30">
        <f t="shared" si="9"/>
        <v>13148.511</v>
      </c>
      <c r="J63" s="30">
        <f t="shared" si="10"/>
        <v>9203.9577</v>
      </c>
      <c r="K63" s="35">
        <v>2021</v>
      </c>
      <c r="L63" s="12"/>
      <c r="M63" s="36">
        <v>2021</v>
      </c>
    </row>
    <row r="64" ht="26.1" customHeight="1" spans="1:13">
      <c r="A64" s="14"/>
      <c r="B64" s="10"/>
      <c r="C64" s="10"/>
      <c r="D64" s="32">
        <v>26818</v>
      </c>
      <c r="E64" s="30">
        <v>0</v>
      </c>
      <c r="F64" s="30">
        <v>0</v>
      </c>
      <c r="G64" s="30">
        <v>0</v>
      </c>
      <c r="H64" s="30">
        <f>5352*2</f>
        <v>10704</v>
      </c>
      <c r="I64" s="30">
        <f t="shared" si="9"/>
        <v>10704</v>
      </c>
      <c r="J64" s="30">
        <f t="shared" si="10"/>
        <v>7492.8</v>
      </c>
      <c r="K64" s="35">
        <v>2021</v>
      </c>
      <c r="L64" s="12"/>
      <c r="M64" s="36">
        <v>2021</v>
      </c>
    </row>
    <row r="65" ht="26.1" customHeight="1" spans="1:13">
      <c r="A65" s="14">
        <v>27</v>
      </c>
      <c r="B65" s="10" t="s">
        <v>26</v>
      </c>
      <c r="C65" s="10" t="s">
        <v>27</v>
      </c>
      <c r="D65" s="32">
        <v>32508</v>
      </c>
      <c r="E65" s="30">
        <v>7675.11</v>
      </c>
      <c r="F65" s="30">
        <f>25107*0.292+32508*0.292*1.3</f>
        <v>19671.2808</v>
      </c>
      <c r="G65" s="30">
        <f>32508*0.032</f>
        <v>1040.256</v>
      </c>
      <c r="H65" s="30">
        <v>5352</v>
      </c>
      <c r="I65" s="30">
        <f t="shared" si="9"/>
        <v>33738.6468</v>
      </c>
      <c r="J65" s="30">
        <f t="shared" si="10"/>
        <v>23617.05276</v>
      </c>
      <c r="K65" s="35">
        <v>2021</v>
      </c>
      <c r="L65" s="12"/>
      <c r="M65" s="36">
        <v>2021</v>
      </c>
    </row>
    <row r="66" ht="26.1" customHeight="1" spans="1:13">
      <c r="A66" s="14">
        <v>28</v>
      </c>
      <c r="B66" s="10" t="s">
        <v>28</v>
      </c>
      <c r="C66" s="10" t="s">
        <v>13</v>
      </c>
      <c r="D66" s="32">
        <v>21720</v>
      </c>
      <c r="E66" s="30">
        <v>7675.11</v>
      </c>
      <c r="F66" s="30">
        <f>21720*0.292*1.3+40779*0.292</f>
        <v>20152.38</v>
      </c>
      <c r="G66" s="30">
        <f>21720*0.032</f>
        <v>695.04</v>
      </c>
      <c r="H66" s="30">
        <v>5352</v>
      </c>
      <c r="I66" s="30">
        <f t="shared" si="9"/>
        <v>33874.53</v>
      </c>
      <c r="J66" s="30">
        <f t="shared" si="10"/>
        <v>23712.171</v>
      </c>
      <c r="K66" s="35">
        <v>2021</v>
      </c>
      <c r="L66" s="12"/>
      <c r="M66" s="36">
        <v>2021</v>
      </c>
    </row>
    <row r="67" ht="26.1" customHeight="1" spans="1:13">
      <c r="A67" s="14">
        <v>29</v>
      </c>
      <c r="B67" s="10" t="s">
        <v>29</v>
      </c>
      <c r="C67" s="10" t="s">
        <v>13</v>
      </c>
      <c r="D67" s="32">
        <v>105137</v>
      </c>
      <c r="E67" s="30">
        <v>7675.11</v>
      </c>
      <c r="F67" s="30">
        <f>105137*0.292*1.3+2638*0.292</f>
        <v>40680.3012</v>
      </c>
      <c r="G67" s="30">
        <f>105137*0.032</f>
        <v>3364.384</v>
      </c>
      <c r="H67" s="30">
        <v>5352</v>
      </c>
      <c r="I67" s="30">
        <f t="shared" si="9"/>
        <v>57071.7952</v>
      </c>
      <c r="J67" s="30">
        <f t="shared" si="10"/>
        <v>39950.25664</v>
      </c>
      <c r="K67" s="35">
        <v>2021</v>
      </c>
      <c r="L67" s="12"/>
      <c r="M67" s="36">
        <v>2021</v>
      </c>
    </row>
    <row r="68" ht="26.1" customHeight="1" spans="1:13">
      <c r="A68" s="14">
        <v>30</v>
      </c>
      <c r="B68" s="10" t="s">
        <v>30</v>
      </c>
      <c r="C68" s="10" t="s">
        <v>13</v>
      </c>
      <c r="D68" s="32">
        <v>10737</v>
      </c>
      <c r="E68" s="30">
        <v>7675.11</v>
      </c>
      <c r="F68" s="30">
        <f>10737*0.292+11580*0.292</f>
        <v>6516.564</v>
      </c>
      <c r="G68" s="30">
        <f>10737*0.032</f>
        <v>343.584</v>
      </c>
      <c r="H68" s="30">
        <v>5352</v>
      </c>
      <c r="I68" s="30">
        <f t="shared" si="9"/>
        <v>19887.258</v>
      </c>
      <c r="J68" s="30">
        <f t="shared" si="10"/>
        <v>13921.0806</v>
      </c>
      <c r="K68" s="35">
        <v>2021</v>
      </c>
      <c r="L68" s="12"/>
      <c r="M68" s="36">
        <v>2021</v>
      </c>
    </row>
    <row r="69" ht="26.1" customHeight="1" spans="1:13">
      <c r="A69" s="14">
        <v>31</v>
      </c>
      <c r="B69" s="10" t="s">
        <v>31</v>
      </c>
      <c r="C69" s="10" t="s">
        <v>32</v>
      </c>
      <c r="D69" s="32">
        <v>9318</v>
      </c>
      <c r="E69" s="30">
        <v>7675.11</v>
      </c>
      <c r="F69" s="38">
        <f>9318*0.292+474*0.292</f>
        <v>2859.264</v>
      </c>
      <c r="G69" s="30">
        <f>9318*0.032</f>
        <v>298.176</v>
      </c>
      <c r="H69" s="30">
        <v>0</v>
      </c>
      <c r="I69" s="30">
        <f t="shared" si="9"/>
        <v>10832.55</v>
      </c>
      <c r="J69" s="30">
        <f t="shared" si="10"/>
        <v>7582.785</v>
      </c>
      <c r="K69" s="35">
        <v>2021</v>
      </c>
      <c r="L69" s="12"/>
      <c r="M69" s="36">
        <v>2021</v>
      </c>
    </row>
    <row r="70" ht="26.1" customHeight="1" spans="1:13">
      <c r="A70" s="14">
        <v>32</v>
      </c>
      <c r="B70" s="10" t="s">
        <v>33</v>
      </c>
      <c r="C70" s="10" t="s">
        <v>13</v>
      </c>
      <c r="D70" s="32">
        <v>60700</v>
      </c>
      <c r="E70" s="30">
        <v>7675.11</v>
      </c>
      <c r="F70" s="30">
        <f>60700*0.292*1.3</f>
        <v>23041.72</v>
      </c>
      <c r="G70" s="30">
        <f>60700*0.032</f>
        <v>1942.4</v>
      </c>
      <c r="H70" s="30">
        <v>0</v>
      </c>
      <c r="I70" s="30">
        <f t="shared" si="9"/>
        <v>32659.23</v>
      </c>
      <c r="J70" s="30">
        <f t="shared" si="10"/>
        <v>22861.461</v>
      </c>
      <c r="K70" s="35">
        <v>2021</v>
      </c>
      <c r="L70" s="12"/>
      <c r="M70" s="36">
        <v>2021</v>
      </c>
    </row>
    <row r="71" ht="26.1" customHeight="1" spans="1:13">
      <c r="A71" s="14">
        <v>33</v>
      </c>
      <c r="B71" s="10" t="s">
        <v>34</v>
      </c>
      <c r="C71" s="10" t="s">
        <v>13</v>
      </c>
      <c r="D71" s="32">
        <v>23005</v>
      </c>
      <c r="E71" s="30">
        <v>7675.11</v>
      </c>
      <c r="F71" s="30">
        <f>23005*0.292</f>
        <v>6717.46</v>
      </c>
      <c r="G71" s="30">
        <f>23005*0.032</f>
        <v>736.16</v>
      </c>
      <c r="H71" s="30">
        <v>5352</v>
      </c>
      <c r="I71" s="30">
        <f t="shared" si="9"/>
        <v>20480.73</v>
      </c>
      <c r="J71" s="30">
        <f t="shared" si="10"/>
        <v>14336.511</v>
      </c>
      <c r="K71" s="35">
        <v>2021</v>
      </c>
      <c r="L71" s="12"/>
      <c r="M71" s="36">
        <v>2021</v>
      </c>
    </row>
    <row r="72" ht="26.1" customHeight="1" spans="1:13">
      <c r="A72" s="14">
        <v>34</v>
      </c>
      <c r="B72" s="10" t="s">
        <v>35</v>
      </c>
      <c r="C72" s="10" t="s">
        <v>36</v>
      </c>
      <c r="D72" s="32">
        <v>4000</v>
      </c>
      <c r="E72" s="30">
        <v>7675.11</v>
      </c>
      <c r="F72" s="30">
        <f>4000*0.372</f>
        <v>1488</v>
      </c>
      <c r="G72" s="30">
        <f>4000*0.046</f>
        <v>184</v>
      </c>
      <c r="H72" s="30">
        <v>5352</v>
      </c>
      <c r="I72" s="30">
        <f t="shared" si="9"/>
        <v>14699.11</v>
      </c>
      <c r="J72" s="30">
        <f t="shared" si="10"/>
        <v>10289.377</v>
      </c>
      <c r="K72" s="35">
        <v>2021</v>
      </c>
      <c r="L72" s="12"/>
      <c r="M72" s="36">
        <v>2021</v>
      </c>
    </row>
    <row r="73" ht="26.1" customHeight="1" spans="1:13">
      <c r="A73" s="14">
        <v>35</v>
      </c>
      <c r="B73" s="10" t="s">
        <v>37</v>
      </c>
      <c r="C73" s="10" t="s">
        <v>36</v>
      </c>
      <c r="D73" s="32">
        <v>33828</v>
      </c>
      <c r="E73" s="30">
        <v>7675.11</v>
      </c>
      <c r="F73" s="30">
        <f>33828*0.328</f>
        <v>11095.584</v>
      </c>
      <c r="G73" s="30">
        <f>33828*0.041</f>
        <v>1386.948</v>
      </c>
      <c r="H73" s="30">
        <v>5352</v>
      </c>
      <c r="I73" s="30">
        <f t="shared" si="9"/>
        <v>25509.642</v>
      </c>
      <c r="J73" s="30">
        <f t="shared" si="10"/>
        <v>17856.7494</v>
      </c>
      <c r="K73" s="35">
        <v>2021</v>
      </c>
      <c r="L73" s="12"/>
      <c r="M73" s="36">
        <v>2021</v>
      </c>
    </row>
    <row r="74" ht="26.1" customHeight="1" spans="1:13">
      <c r="A74" s="14">
        <v>36</v>
      </c>
      <c r="B74" s="10" t="s">
        <v>38</v>
      </c>
      <c r="C74" s="10" t="s">
        <v>13</v>
      </c>
      <c r="D74" s="32">
        <v>12811</v>
      </c>
      <c r="E74" s="30">
        <v>7675.11</v>
      </c>
      <c r="F74" s="30">
        <f>12811*0.328*1.3+2352*0.328</f>
        <v>6234.0664</v>
      </c>
      <c r="G74" s="30">
        <f>12811*0.041</f>
        <v>525.251</v>
      </c>
      <c r="H74" s="30">
        <v>5352</v>
      </c>
      <c r="I74" s="30">
        <f t="shared" si="9"/>
        <v>19786.4274</v>
      </c>
      <c r="J74" s="30">
        <f t="shared" si="10"/>
        <v>13850.49918</v>
      </c>
      <c r="K74" s="35">
        <v>2021</v>
      </c>
      <c r="L74" s="12"/>
      <c r="M74" s="36">
        <v>2021</v>
      </c>
    </row>
    <row r="75" ht="26.1" customHeight="1" spans="1:13">
      <c r="A75" s="14">
        <v>37</v>
      </c>
      <c r="B75" s="10" t="s">
        <v>39</v>
      </c>
      <c r="C75" s="10" t="s">
        <v>13</v>
      </c>
      <c r="D75" s="32">
        <v>15938</v>
      </c>
      <c r="E75" s="30">
        <v>7675.11</v>
      </c>
      <c r="F75" s="30">
        <f>15938*0.328*1.3+36721*0.328</f>
        <v>18840.4512</v>
      </c>
      <c r="G75" s="30">
        <f>15938*0.041</f>
        <v>653.458</v>
      </c>
      <c r="H75" s="30">
        <v>5352</v>
      </c>
      <c r="I75" s="30">
        <f t="shared" si="9"/>
        <v>32521.0192</v>
      </c>
      <c r="J75" s="30">
        <f t="shared" si="10"/>
        <v>22764.71344</v>
      </c>
      <c r="K75" s="35">
        <v>2021</v>
      </c>
      <c r="L75" s="12"/>
      <c r="M75" s="36">
        <v>2021</v>
      </c>
    </row>
    <row r="76" ht="26.1" customHeight="1" spans="1:13">
      <c r="A76" s="14">
        <v>38</v>
      </c>
      <c r="B76" s="10" t="s">
        <v>40</v>
      </c>
      <c r="C76" s="10" t="s">
        <v>13</v>
      </c>
      <c r="D76" s="32">
        <v>42570</v>
      </c>
      <c r="E76" s="30">
        <v>7675.11</v>
      </c>
      <c r="F76" s="30">
        <f>42570*0.328*1.3+162433*0.328</f>
        <v>71429.872</v>
      </c>
      <c r="G76" s="30">
        <f>42570*0.041</f>
        <v>1745.37</v>
      </c>
      <c r="H76" s="30">
        <v>5352</v>
      </c>
      <c r="I76" s="30">
        <f t="shared" si="9"/>
        <v>86202.352</v>
      </c>
      <c r="J76" s="30">
        <f t="shared" si="10"/>
        <v>60341.6464</v>
      </c>
      <c r="K76" s="35">
        <v>2021</v>
      </c>
      <c r="L76" s="12"/>
      <c r="M76" s="36">
        <v>2021</v>
      </c>
    </row>
    <row r="77" ht="26.1" customHeight="1" spans="1:13">
      <c r="A77" s="14">
        <v>39</v>
      </c>
      <c r="B77" s="10" t="s">
        <v>41</v>
      </c>
      <c r="C77" s="10" t="s">
        <v>13</v>
      </c>
      <c r="D77" s="32">
        <v>29797</v>
      </c>
      <c r="E77" s="30">
        <v>7675.11</v>
      </c>
      <c r="F77" s="30">
        <f>29797*0.292*1.3+38179*0.292</f>
        <v>22459.2092</v>
      </c>
      <c r="G77" s="30">
        <f>29797*0.032</f>
        <v>953.504</v>
      </c>
      <c r="H77" s="30">
        <v>5352</v>
      </c>
      <c r="I77" s="30">
        <f t="shared" si="9"/>
        <v>36439.8232</v>
      </c>
      <c r="J77" s="30">
        <f t="shared" si="10"/>
        <v>25507.87624</v>
      </c>
      <c r="K77" s="35">
        <v>2021</v>
      </c>
      <c r="L77" s="12"/>
      <c r="M77" s="36">
        <v>2021</v>
      </c>
    </row>
    <row r="78" ht="26.1" customHeight="1" spans="1:13">
      <c r="A78" s="14">
        <v>40</v>
      </c>
      <c r="B78" s="10" t="s">
        <v>42</v>
      </c>
      <c r="C78" s="10" t="s">
        <v>13</v>
      </c>
      <c r="D78" s="32">
        <v>12511</v>
      </c>
      <c r="E78" s="30">
        <v>7675.11</v>
      </c>
      <c r="F78" s="30">
        <f>12511*0.292*1.3</f>
        <v>4749.1756</v>
      </c>
      <c r="G78" s="30">
        <f>12511*0.032</f>
        <v>400.352</v>
      </c>
      <c r="H78" s="30">
        <v>5352</v>
      </c>
      <c r="I78" s="30">
        <f t="shared" si="9"/>
        <v>18176.6376</v>
      </c>
      <c r="J78" s="30">
        <f t="shared" si="10"/>
        <v>12723.64632</v>
      </c>
      <c r="K78" s="35">
        <v>2021</v>
      </c>
      <c r="L78" s="12"/>
      <c r="M78" s="36">
        <v>2021</v>
      </c>
    </row>
    <row r="79" ht="26.1" customHeight="1" spans="1:12">
      <c r="A79" s="14"/>
      <c r="B79" s="21"/>
      <c r="C79" s="10"/>
      <c r="D79" s="29">
        <f>SUM(D35:D78)</f>
        <v>4865828</v>
      </c>
      <c r="E79" s="29">
        <f t="shared" ref="E79:J79" si="11">SUM(E35:E78)</f>
        <v>412869.7506</v>
      </c>
      <c r="F79" s="29">
        <f t="shared" si="11"/>
        <v>2264840.76472</v>
      </c>
      <c r="G79" s="29">
        <f t="shared" si="11"/>
        <v>158566.12846</v>
      </c>
      <c r="H79" s="29">
        <f t="shared" si="11"/>
        <v>262248</v>
      </c>
      <c r="I79" s="29">
        <f t="shared" si="11"/>
        <v>3098524.64378</v>
      </c>
      <c r="J79" s="29">
        <f t="shared" si="11"/>
        <v>2168967.250646</v>
      </c>
      <c r="K79" s="35"/>
      <c r="L79" s="12"/>
    </row>
    <row r="80" ht="26.1" customHeight="1" spans="1:12">
      <c r="A80" s="34" t="s">
        <v>125</v>
      </c>
      <c r="B80" s="34"/>
      <c r="C80" s="34"/>
      <c r="D80" s="34">
        <f t="shared" ref="D80:J80" si="12">D32+D79</f>
        <v>6128494</v>
      </c>
      <c r="E80" s="34">
        <f t="shared" si="12"/>
        <v>635447.940599999</v>
      </c>
      <c r="F80" s="34">
        <f t="shared" si="12"/>
        <v>2657067.80832</v>
      </c>
      <c r="G80" s="34">
        <f t="shared" si="12"/>
        <v>198971.44046</v>
      </c>
      <c r="H80" s="34">
        <f t="shared" si="12"/>
        <v>417456</v>
      </c>
      <c r="I80" s="34">
        <f t="shared" si="12"/>
        <v>3908943.18938</v>
      </c>
      <c r="J80" s="34">
        <f t="shared" si="12"/>
        <v>2736260.232566</v>
      </c>
      <c r="K80" s="39"/>
      <c r="L80" s="12"/>
    </row>
    <row r="81" ht="24.95" customHeight="1"/>
  </sheetData>
  <mergeCells count="15">
    <mergeCell ref="A1:L1"/>
    <mergeCell ref="A33:L33"/>
    <mergeCell ref="A80:C80"/>
    <mergeCell ref="A35:A36"/>
    <mergeCell ref="A58:A59"/>
    <mergeCell ref="A60:A61"/>
    <mergeCell ref="A63:A64"/>
    <mergeCell ref="B35:B36"/>
    <mergeCell ref="B58:B59"/>
    <mergeCell ref="B60:B61"/>
    <mergeCell ref="B63:B64"/>
    <mergeCell ref="C35:C36"/>
    <mergeCell ref="C58:C59"/>
    <mergeCell ref="C60:C61"/>
    <mergeCell ref="C63:C64"/>
  </mergeCells>
  <pageMargins left="0.7" right="0.7" top="0.75" bottom="0.75" header="0.3" footer="0.3"/>
  <pageSetup paperSize="9" scale="54" orientation="portrait"/>
  <headerFooter/>
  <rowBreaks count="1" manualBreakCount="1">
    <brk id="43" max="11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tabSelected="1" view="pageBreakPreview" zoomScale="110" zoomScaleNormal="100" topLeftCell="A25" workbookViewId="0">
      <selection activeCell="A31" sqref="A31:D31"/>
    </sheetView>
  </sheetViews>
  <sheetFormatPr defaultColWidth="9" defaultRowHeight="13.5" outlineLevelCol="3"/>
  <cols>
    <col min="2" max="2" width="18.875" customWidth="1"/>
    <col min="3" max="3" width="11" customWidth="1"/>
    <col min="4" max="4" width="64.7666666666667" customWidth="1"/>
  </cols>
  <sheetData>
    <row r="1" ht="36.75" customHeight="1" spans="1:4">
      <c r="A1" s="3" t="s">
        <v>135</v>
      </c>
      <c r="B1" s="3"/>
      <c r="C1" s="3"/>
      <c r="D1" s="3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0" customHeight="1" spans="1:4">
      <c r="A3" s="5">
        <v>1</v>
      </c>
      <c r="B3" s="6" t="s">
        <v>12</v>
      </c>
      <c r="C3" s="7" t="s">
        <v>13</v>
      </c>
      <c r="D3" s="7">
        <v>11372</v>
      </c>
    </row>
    <row r="4" s="1" customFormat="1" ht="30" customHeight="1" spans="1:4">
      <c r="A4" s="5">
        <v>2</v>
      </c>
      <c r="B4" s="6" t="s">
        <v>15</v>
      </c>
      <c r="C4" s="7" t="s">
        <v>13</v>
      </c>
      <c r="D4" s="7">
        <v>2514</v>
      </c>
    </row>
    <row r="5" s="2" customFormat="1" ht="30" customHeight="1" spans="1:4">
      <c r="A5" s="8">
        <v>3</v>
      </c>
      <c r="B5" s="9" t="s">
        <v>16</v>
      </c>
      <c r="C5" s="10" t="s">
        <v>13</v>
      </c>
      <c r="D5" s="10">
        <v>36981</v>
      </c>
    </row>
    <row r="6" s="2" customFormat="1" ht="30" customHeight="1" spans="1:4">
      <c r="A6" s="8">
        <v>4</v>
      </c>
      <c r="B6" s="9" t="s">
        <v>17</v>
      </c>
      <c r="C6" s="10" t="s">
        <v>13</v>
      </c>
      <c r="D6" s="10">
        <v>195686</v>
      </c>
    </row>
    <row r="7" s="1" customFormat="1" ht="30" customHeight="1" spans="1:4">
      <c r="A7" s="5">
        <v>5</v>
      </c>
      <c r="B7" s="6" t="s">
        <v>18</v>
      </c>
      <c r="C7" s="7" t="s">
        <v>19</v>
      </c>
      <c r="D7" s="7">
        <v>58529</v>
      </c>
    </row>
    <row r="8" s="1" customFormat="1" ht="30" customHeight="1" spans="1:4">
      <c r="A8" s="5"/>
      <c r="B8" s="6"/>
      <c r="C8" s="7"/>
      <c r="D8" s="7">
        <v>3237</v>
      </c>
    </row>
    <row r="9" s="2" customFormat="1" ht="30" customHeight="1" spans="1:4">
      <c r="A9" s="8">
        <v>6</v>
      </c>
      <c r="B9" s="9" t="s">
        <v>20</v>
      </c>
      <c r="C9" s="10" t="s">
        <v>21</v>
      </c>
      <c r="D9" s="10">
        <v>14308</v>
      </c>
    </row>
    <row r="10" s="2" customFormat="1" ht="30" customHeight="1" spans="1:4">
      <c r="A10" s="8"/>
      <c r="B10" s="9"/>
      <c r="C10" s="10"/>
      <c r="D10" s="10">
        <v>11896</v>
      </c>
    </row>
    <row r="11" s="1" customFormat="1" ht="30" customHeight="1" spans="1:4">
      <c r="A11" s="5">
        <v>7</v>
      </c>
      <c r="B11" s="6" t="s">
        <v>22</v>
      </c>
      <c r="C11" s="7" t="s">
        <v>23</v>
      </c>
      <c r="D11" s="7">
        <v>693081</v>
      </c>
    </row>
    <row r="12" s="1" customFormat="1" ht="30" customHeight="1" spans="1:4">
      <c r="A12" s="5">
        <v>8</v>
      </c>
      <c r="B12" s="6" t="s">
        <v>24</v>
      </c>
      <c r="C12" s="7" t="s">
        <v>25</v>
      </c>
      <c r="D12" s="7">
        <v>329</v>
      </c>
    </row>
    <row r="13" s="1" customFormat="1" ht="30" customHeight="1" spans="1:4">
      <c r="A13" s="5"/>
      <c r="B13" s="6"/>
      <c r="C13" s="7"/>
      <c r="D13" s="7">
        <v>26818</v>
      </c>
    </row>
    <row r="14" s="2" customFormat="1" ht="30" customHeight="1" spans="1:4">
      <c r="A14" s="8">
        <v>9</v>
      </c>
      <c r="B14" s="9" t="s">
        <v>26</v>
      </c>
      <c r="C14" s="10" t="s">
        <v>27</v>
      </c>
      <c r="D14" s="10">
        <v>32508</v>
      </c>
    </row>
    <row r="15" s="2" customFormat="1" ht="30" customHeight="1" spans="1:4">
      <c r="A15" s="8">
        <v>10</v>
      </c>
      <c r="B15" s="9" t="s">
        <v>28</v>
      </c>
      <c r="C15" s="10" t="s">
        <v>13</v>
      </c>
      <c r="D15" s="10">
        <v>21720</v>
      </c>
    </row>
    <row r="16" s="2" customFormat="1" ht="30" customHeight="1" spans="1:4">
      <c r="A16" s="8">
        <v>11</v>
      </c>
      <c r="B16" s="9" t="s">
        <v>29</v>
      </c>
      <c r="C16" s="10" t="s">
        <v>13</v>
      </c>
      <c r="D16" s="10">
        <v>105137</v>
      </c>
    </row>
    <row r="17" s="1" customFormat="1" ht="30" customHeight="1" spans="1:4">
      <c r="A17" s="5">
        <v>12</v>
      </c>
      <c r="B17" s="6" t="s">
        <v>30</v>
      </c>
      <c r="C17" s="7" t="s">
        <v>13</v>
      </c>
      <c r="D17" s="7">
        <v>10737</v>
      </c>
    </row>
    <row r="18" s="1" customFormat="1" ht="30" customHeight="1" spans="1:4">
      <c r="A18" s="5">
        <v>13</v>
      </c>
      <c r="B18" s="6" t="s">
        <v>31</v>
      </c>
      <c r="C18" s="7" t="s">
        <v>32</v>
      </c>
      <c r="D18" s="7">
        <v>9318</v>
      </c>
    </row>
    <row r="19" s="1" customFormat="1" ht="30" customHeight="1" spans="1:4">
      <c r="A19" s="5">
        <v>14</v>
      </c>
      <c r="B19" s="6" t="s">
        <v>33</v>
      </c>
      <c r="C19" s="7" t="s">
        <v>13</v>
      </c>
      <c r="D19" s="7">
        <v>60700</v>
      </c>
    </row>
    <row r="20" s="1" customFormat="1" ht="30" customHeight="1" spans="1:4">
      <c r="A20" s="5">
        <v>15</v>
      </c>
      <c r="B20" s="6" t="s">
        <v>34</v>
      </c>
      <c r="C20" s="7" t="s">
        <v>13</v>
      </c>
      <c r="D20" s="7">
        <v>23005</v>
      </c>
    </row>
    <row r="21" s="1" customFormat="1" ht="30" customHeight="1" spans="1:4">
      <c r="A21" s="5">
        <v>16</v>
      </c>
      <c r="B21" s="6" t="s">
        <v>35</v>
      </c>
      <c r="C21" s="7" t="s">
        <v>36</v>
      </c>
      <c r="D21" s="7">
        <v>4000</v>
      </c>
    </row>
    <row r="22" s="1" customFormat="1" ht="30" customHeight="1" spans="1:4">
      <c r="A22" s="5">
        <v>17</v>
      </c>
      <c r="B22" s="6" t="s">
        <v>37</v>
      </c>
      <c r="C22" s="7" t="s">
        <v>36</v>
      </c>
      <c r="D22" s="7">
        <v>33828</v>
      </c>
    </row>
    <row r="23" s="2" customFormat="1" ht="30" customHeight="1" spans="1:4">
      <c r="A23" s="8">
        <v>18</v>
      </c>
      <c r="B23" s="9" t="s">
        <v>38</v>
      </c>
      <c r="C23" s="10" t="s">
        <v>13</v>
      </c>
      <c r="D23" s="10">
        <v>12811</v>
      </c>
    </row>
    <row r="24" s="2" customFormat="1" ht="30" customHeight="1" spans="1:4">
      <c r="A24" s="8">
        <v>19</v>
      </c>
      <c r="B24" s="9" t="s">
        <v>39</v>
      </c>
      <c r="C24" s="10" t="s">
        <v>13</v>
      </c>
      <c r="D24" s="10">
        <v>15938</v>
      </c>
    </row>
    <row r="25" s="2" customFormat="1" ht="30" customHeight="1" spans="1:4">
      <c r="A25" s="8">
        <v>20</v>
      </c>
      <c r="B25" s="9" t="s">
        <v>40</v>
      </c>
      <c r="C25" s="10" t="s">
        <v>13</v>
      </c>
      <c r="D25" s="10">
        <v>42570</v>
      </c>
    </row>
    <row r="26" s="1" customFormat="1" ht="30" customHeight="1" spans="1:4">
      <c r="A26" s="5">
        <v>21</v>
      </c>
      <c r="B26" s="6" t="s">
        <v>41</v>
      </c>
      <c r="C26" s="7" t="s">
        <v>13</v>
      </c>
      <c r="D26" s="7">
        <v>29797</v>
      </c>
    </row>
    <row r="27" s="1" customFormat="1" ht="30" customHeight="1" spans="1:4">
      <c r="A27" s="5">
        <v>22</v>
      </c>
      <c r="B27" s="6" t="s">
        <v>136</v>
      </c>
      <c r="C27" s="7" t="s">
        <v>13</v>
      </c>
      <c r="D27" s="7">
        <v>12511</v>
      </c>
    </row>
    <row r="28" s="2" customFormat="1" ht="30" customHeight="1" spans="1:4">
      <c r="A28" s="8">
        <v>23</v>
      </c>
      <c r="B28" s="11" t="s">
        <v>43</v>
      </c>
      <c r="C28" s="12" t="s">
        <v>44</v>
      </c>
      <c r="D28" s="12">
        <v>13287</v>
      </c>
    </row>
    <row r="29" s="2" customFormat="1" ht="30" customHeight="1" spans="1:4">
      <c r="A29" s="8">
        <v>24</v>
      </c>
      <c r="B29" s="13" t="s">
        <v>45</v>
      </c>
      <c r="C29" s="12" t="s">
        <v>13</v>
      </c>
      <c r="D29" s="12">
        <v>10876</v>
      </c>
    </row>
    <row r="30" ht="30" customHeight="1" spans="1:4">
      <c r="A30" s="14" t="s">
        <v>46</v>
      </c>
      <c r="B30" s="14"/>
      <c r="C30" s="14"/>
      <c r="D30" s="12">
        <f>SUM(D3:D29)</f>
        <v>1493494</v>
      </c>
    </row>
    <row r="31" ht="30" customHeight="1" spans="1:4">
      <c r="A31" s="3" t="s">
        <v>137</v>
      </c>
      <c r="B31" s="3"/>
      <c r="C31" s="3"/>
      <c r="D31" s="3"/>
    </row>
    <row r="32" ht="30" customHeight="1" spans="1:4">
      <c r="A32" s="4" t="s">
        <v>1</v>
      </c>
      <c r="B32" s="4" t="s">
        <v>2</v>
      </c>
      <c r="C32" s="4" t="s">
        <v>3</v>
      </c>
      <c r="D32" s="4" t="s">
        <v>4</v>
      </c>
    </row>
    <row r="33" s="2" customFormat="1" ht="30" customHeight="1" spans="1:4">
      <c r="A33" s="8">
        <v>1</v>
      </c>
      <c r="B33" s="11" t="s">
        <v>48</v>
      </c>
      <c r="C33" s="12" t="s">
        <v>13</v>
      </c>
      <c r="D33" s="12">
        <v>41175</v>
      </c>
    </row>
    <row r="34" s="2" customFormat="1" ht="30" customHeight="1" spans="1:4">
      <c r="A34" s="8">
        <v>2</v>
      </c>
      <c r="B34" s="11" t="s">
        <v>51</v>
      </c>
      <c r="C34" s="12" t="s">
        <v>13</v>
      </c>
      <c r="D34" s="12">
        <v>28120</v>
      </c>
    </row>
    <row r="35" s="2" customFormat="1" ht="30" customHeight="1" spans="1:4">
      <c r="A35" s="8">
        <v>3</v>
      </c>
      <c r="B35" s="11" t="s">
        <v>53</v>
      </c>
      <c r="C35" s="12" t="s">
        <v>54</v>
      </c>
      <c r="D35" s="12">
        <v>20248</v>
      </c>
    </row>
    <row r="36" s="2" customFormat="1" ht="30" customHeight="1" spans="1:4">
      <c r="A36" s="8">
        <v>4</v>
      </c>
      <c r="B36" s="11" t="s">
        <v>56</v>
      </c>
      <c r="C36" s="12" t="s">
        <v>13</v>
      </c>
      <c r="D36" s="15">
        <v>2657</v>
      </c>
    </row>
    <row r="37" s="2" customFormat="1" ht="30" customHeight="1" spans="1:4">
      <c r="A37" s="8">
        <v>5</v>
      </c>
      <c r="B37" s="11" t="s">
        <v>58</v>
      </c>
      <c r="C37" s="12" t="s">
        <v>36</v>
      </c>
      <c r="D37" s="12">
        <v>14854</v>
      </c>
    </row>
    <row r="38" s="2" customFormat="1" ht="30" customHeight="1" spans="1:4">
      <c r="A38" s="8">
        <v>6</v>
      </c>
      <c r="B38" s="11" t="s">
        <v>60</v>
      </c>
      <c r="C38" s="12" t="s">
        <v>61</v>
      </c>
      <c r="D38" s="12">
        <v>10215</v>
      </c>
    </row>
    <row r="39" s="2" customFormat="1" ht="30" customHeight="1" spans="1:4">
      <c r="A39" s="8">
        <v>7</v>
      </c>
      <c r="B39" s="11" t="s">
        <v>63</v>
      </c>
      <c r="C39" s="12" t="s">
        <v>13</v>
      </c>
      <c r="D39" s="12">
        <v>15800</v>
      </c>
    </row>
    <row r="40" s="2" customFormat="1" ht="30" customHeight="1" spans="1:4">
      <c r="A40" s="8">
        <v>8</v>
      </c>
      <c r="B40" s="11" t="s">
        <v>65</v>
      </c>
      <c r="C40" s="12" t="s">
        <v>13</v>
      </c>
      <c r="D40" s="12">
        <v>22320</v>
      </c>
    </row>
    <row r="41" s="2" customFormat="1" ht="30" customHeight="1" spans="1:4">
      <c r="A41" s="8">
        <v>9</v>
      </c>
      <c r="B41" s="11" t="s">
        <v>67</v>
      </c>
      <c r="C41" s="12" t="s">
        <v>68</v>
      </c>
      <c r="D41" s="12">
        <v>15400</v>
      </c>
    </row>
    <row r="42" s="2" customFormat="1" ht="30" customHeight="1" spans="1:4">
      <c r="A42" s="8">
        <v>10</v>
      </c>
      <c r="B42" s="11" t="s">
        <v>70</v>
      </c>
      <c r="C42" s="12" t="s">
        <v>13</v>
      </c>
      <c r="D42" s="12">
        <v>44000</v>
      </c>
    </row>
    <row r="43" s="2" customFormat="1" ht="30" customHeight="1" spans="1:4">
      <c r="A43" s="8">
        <v>11</v>
      </c>
      <c r="B43" s="11" t="s">
        <v>53</v>
      </c>
      <c r="C43" s="12" t="s">
        <v>13</v>
      </c>
      <c r="D43" s="12">
        <v>10800</v>
      </c>
    </row>
    <row r="44" s="2" customFormat="1" ht="30" customHeight="1" spans="1:4">
      <c r="A44" s="8">
        <v>12</v>
      </c>
      <c r="B44" s="11" t="s">
        <v>73</v>
      </c>
      <c r="C44" s="12" t="s">
        <v>13</v>
      </c>
      <c r="D44" s="12">
        <v>116727</v>
      </c>
    </row>
    <row r="45" s="2" customFormat="1" ht="30" customHeight="1" spans="1:4">
      <c r="A45" s="8">
        <v>13</v>
      </c>
      <c r="B45" s="11" t="s">
        <v>75</v>
      </c>
      <c r="C45" s="12" t="s">
        <v>13</v>
      </c>
      <c r="D45" s="12">
        <v>23550</v>
      </c>
    </row>
    <row r="46" s="2" customFormat="1" ht="30" customHeight="1" spans="1:4">
      <c r="A46" s="8">
        <v>14</v>
      </c>
      <c r="B46" s="11" t="s">
        <v>77</v>
      </c>
      <c r="C46" s="12" t="s">
        <v>61</v>
      </c>
      <c r="D46" s="12">
        <v>20559</v>
      </c>
    </row>
    <row r="47" s="2" customFormat="1" ht="30" customHeight="1" spans="1:4">
      <c r="A47" s="8">
        <v>15</v>
      </c>
      <c r="B47" s="11" t="s">
        <v>79</v>
      </c>
      <c r="C47" s="12" t="s">
        <v>80</v>
      </c>
      <c r="D47" s="12">
        <v>38400</v>
      </c>
    </row>
    <row r="48" s="2" customFormat="1" ht="30" customHeight="1" spans="1:4">
      <c r="A48" s="8">
        <v>16</v>
      </c>
      <c r="B48" s="11" t="s">
        <v>82</v>
      </c>
      <c r="C48" s="12" t="s">
        <v>83</v>
      </c>
      <c r="D48" s="12">
        <v>485000</v>
      </c>
    </row>
    <row r="49" s="2" customFormat="1" ht="30" customHeight="1" spans="1:4">
      <c r="A49" s="8">
        <v>17</v>
      </c>
      <c r="B49" s="11" t="s">
        <v>85</v>
      </c>
      <c r="C49" s="12" t="s">
        <v>13</v>
      </c>
      <c r="D49" s="12">
        <v>14648</v>
      </c>
    </row>
    <row r="50" s="2" customFormat="1" ht="30" customHeight="1" spans="1:4">
      <c r="A50" s="8">
        <v>18</v>
      </c>
      <c r="B50" s="11" t="s">
        <v>87</v>
      </c>
      <c r="C50" s="12" t="s">
        <v>13</v>
      </c>
      <c r="D50" s="12">
        <v>118514</v>
      </c>
    </row>
    <row r="51" s="2" customFormat="1" ht="30" customHeight="1" spans="1:4">
      <c r="A51" s="8">
        <v>19</v>
      </c>
      <c r="B51" s="11" t="s">
        <v>89</v>
      </c>
      <c r="C51" s="12" t="s">
        <v>13</v>
      </c>
      <c r="D51" s="12">
        <v>16484</v>
      </c>
    </row>
    <row r="52" s="2" customFormat="1" ht="30" customHeight="1" spans="1:4">
      <c r="A52" s="8">
        <v>20</v>
      </c>
      <c r="B52" s="11" t="s">
        <v>91</v>
      </c>
      <c r="C52" s="12" t="s">
        <v>44</v>
      </c>
      <c r="D52" s="12">
        <v>15475</v>
      </c>
    </row>
    <row r="53" s="2" customFormat="1" ht="30" customHeight="1" spans="1:4">
      <c r="A53" s="8">
        <v>21</v>
      </c>
      <c r="B53" s="11" t="s">
        <v>77</v>
      </c>
      <c r="C53" s="12" t="s">
        <v>61</v>
      </c>
      <c r="D53" s="12">
        <v>10218</v>
      </c>
    </row>
    <row r="54" s="2" customFormat="1" ht="30" customHeight="1" spans="1:4">
      <c r="A54" s="8">
        <v>22</v>
      </c>
      <c r="B54" s="11" t="s">
        <v>94</v>
      </c>
      <c r="C54" s="12" t="s">
        <v>13</v>
      </c>
      <c r="D54" s="12">
        <v>17200</v>
      </c>
    </row>
    <row r="55" s="2" customFormat="1" ht="30" customHeight="1" spans="1:4">
      <c r="A55" s="8">
        <v>23</v>
      </c>
      <c r="B55" s="11" t="s">
        <v>96</v>
      </c>
      <c r="C55" s="12" t="s">
        <v>13</v>
      </c>
      <c r="D55" s="12">
        <v>31320</v>
      </c>
    </row>
    <row r="56" s="2" customFormat="1" ht="30" customHeight="1" spans="1:4">
      <c r="A56" s="8">
        <v>24</v>
      </c>
      <c r="B56" s="11" t="s">
        <v>91</v>
      </c>
      <c r="C56" s="12" t="s">
        <v>44</v>
      </c>
      <c r="D56" s="12">
        <v>9484</v>
      </c>
    </row>
    <row r="57" s="2" customFormat="1" ht="30" customHeight="1" spans="1:4">
      <c r="A57" s="8">
        <v>25</v>
      </c>
      <c r="B57" s="16" t="s">
        <v>99</v>
      </c>
      <c r="C57" s="12" t="s">
        <v>44</v>
      </c>
      <c r="D57" s="12">
        <v>12154</v>
      </c>
    </row>
    <row r="58" s="2" customFormat="1" ht="30" customHeight="1" spans="1:4">
      <c r="A58" s="8">
        <v>26</v>
      </c>
      <c r="B58" s="17" t="s">
        <v>101</v>
      </c>
      <c r="C58" s="18" t="s">
        <v>13</v>
      </c>
      <c r="D58" s="19">
        <v>54397</v>
      </c>
    </row>
    <row r="59" s="2" customFormat="1" ht="30" customHeight="1" spans="1:4">
      <c r="A59" s="8">
        <v>27</v>
      </c>
      <c r="B59" s="17" t="s">
        <v>103</v>
      </c>
      <c r="C59" s="18" t="s">
        <v>13</v>
      </c>
      <c r="D59" s="19">
        <v>28784</v>
      </c>
    </row>
    <row r="60" s="2" customFormat="1" ht="30" customHeight="1" spans="1:4">
      <c r="A60" s="8">
        <v>28</v>
      </c>
      <c r="B60" s="20" t="s">
        <v>105</v>
      </c>
      <c r="C60" s="10" t="s">
        <v>36</v>
      </c>
      <c r="D60" s="21">
        <v>187846</v>
      </c>
    </row>
    <row r="61" s="2" customFormat="1" ht="30" customHeight="1" spans="1:4">
      <c r="A61" s="8"/>
      <c r="B61" s="20"/>
      <c r="C61" s="10"/>
      <c r="D61" s="21">
        <v>153448</v>
      </c>
    </row>
    <row r="62" s="2" customFormat="1" ht="30" customHeight="1" spans="1:4">
      <c r="A62" s="8">
        <v>29</v>
      </c>
      <c r="B62" s="20" t="s">
        <v>106</v>
      </c>
      <c r="C62" s="10" t="s">
        <v>36</v>
      </c>
      <c r="D62" s="21">
        <v>208058</v>
      </c>
    </row>
    <row r="63" s="1" customFormat="1" ht="30" customHeight="1" spans="1:4">
      <c r="A63" s="5">
        <v>30</v>
      </c>
      <c r="B63" s="22" t="s">
        <v>107</v>
      </c>
      <c r="C63" s="7" t="s">
        <v>36</v>
      </c>
      <c r="D63" s="23">
        <v>96227</v>
      </c>
    </row>
    <row r="64" s="1" customFormat="1" ht="30" customHeight="1" spans="1:4">
      <c r="A64" s="5">
        <v>31</v>
      </c>
      <c r="B64" s="22" t="s">
        <v>108</v>
      </c>
      <c r="C64" s="7" t="s">
        <v>36</v>
      </c>
      <c r="D64" s="23">
        <v>235760</v>
      </c>
    </row>
    <row r="65" s="1" customFormat="1" ht="30" customHeight="1" spans="1:4">
      <c r="A65" s="5">
        <v>32</v>
      </c>
      <c r="B65" s="22" t="s">
        <v>109</v>
      </c>
      <c r="C65" s="7" t="s">
        <v>36</v>
      </c>
      <c r="D65" s="23">
        <v>66092</v>
      </c>
    </row>
    <row r="66" s="1" customFormat="1" ht="30" customHeight="1" spans="1:4">
      <c r="A66" s="5">
        <v>33</v>
      </c>
      <c r="B66" s="22" t="s">
        <v>110</v>
      </c>
      <c r="C66" s="7" t="s">
        <v>13</v>
      </c>
      <c r="D66" s="23" t="s">
        <v>111</v>
      </c>
    </row>
    <row r="67" s="1" customFormat="1" ht="30" customHeight="1" spans="1:4">
      <c r="A67" s="5">
        <v>34</v>
      </c>
      <c r="B67" s="22" t="s">
        <v>112</v>
      </c>
      <c r="C67" s="7" t="s">
        <v>13</v>
      </c>
      <c r="D67" s="23">
        <v>658100</v>
      </c>
    </row>
    <row r="68" s="1" customFormat="1" ht="30" customHeight="1" spans="1:4">
      <c r="A68" s="5">
        <v>35</v>
      </c>
      <c r="B68" s="22" t="s">
        <v>113</v>
      </c>
      <c r="C68" s="7" t="s">
        <v>13</v>
      </c>
      <c r="D68" s="23">
        <v>656956</v>
      </c>
    </row>
    <row r="69" s="1" customFormat="1" ht="30" customHeight="1" spans="1:4">
      <c r="A69" s="5">
        <v>36</v>
      </c>
      <c r="B69" s="22" t="s">
        <v>114</v>
      </c>
      <c r="C69" s="7" t="s">
        <v>13</v>
      </c>
      <c r="D69" s="23">
        <v>77368</v>
      </c>
    </row>
    <row r="70" s="2" customFormat="1" ht="30" customHeight="1" spans="1:4">
      <c r="A70" s="8">
        <v>37</v>
      </c>
      <c r="B70" s="20" t="s">
        <v>115</v>
      </c>
      <c r="C70" s="10" t="s">
        <v>13</v>
      </c>
      <c r="D70" s="21">
        <v>269434</v>
      </c>
    </row>
    <row r="71" s="1" customFormat="1" ht="30" customHeight="1" spans="1:4">
      <c r="A71" s="5">
        <v>38</v>
      </c>
      <c r="B71" s="22" t="s">
        <v>116</v>
      </c>
      <c r="C71" s="7" t="s">
        <v>13</v>
      </c>
      <c r="D71" s="23">
        <v>27369</v>
      </c>
    </row>
    <row r="72" s="1" customFormat="1" ht="30" customHeight="1" spans="1:4">
      <c r="A72" s="5">
        <v>39</v>
      </c>
      <c r="B72" s="22" t="s">
        <v>117</v>
      </c>
      <c r="C72" s="7" t="s">
        <v>13</v>
      </c>
      <c r="D72" s="23">
        <v>153816</v>
      </c>
    </row>
    <row r="73" s="2" customFormat="1" ht="30" customHeight="1" spans="1:4">
      <c r="A73" s="8">
        <v>40</v>
      </c>
      <c r="B73" s="20" t="s">
        <v>118</v>
      </c>
      <c r="C73" s="10" t="s">
        <v>36</v>
      </c>
      <c r="D73" s="21">
        <v>105516</v>
      </c>
    </row>
    <row r="74" s="2" customFormat="1" ht="30" customHeight="1" spans="1:4">
      <c r="A74" s="8">
        <v>41</v>
      </c>
      <c r="B74" s="20" t="s">
        <v>119</v>
      </c>
      <c r="C74" s="10" t="s">
        <v>36</v>
      </c>
      <c r="D74" s="21">
        <v>298140</v>
      </c>
    </row>
    <row r="75" s="1" customFormat="1" ht="30" customHeight="1" spans="1:4">
      <c r="A75" s="5">
        <v>42</v>
      </c>
      <c r="B75" s="22" t="s">
        <v>120</v>
      </c>
      <c r="C75" s="7" t="s">
        <v>36</v>
      </c>
      <c r="D75" s="23">
        <v>5001</v>
      </c>
    </row>
    <row r="76" s="2" customFormat="1" ht="30" customHeight="1" spans="1:4">
      <c r="A76" s="8">
        <v>43</v>
      </c>
      <c r="B76" s="20" t="s">
        <v>121</v>
      </c>
      <c r="C76" s="10" t="s">
        <v>13</v>
      </c>
      <c r="D76" s="21">
        <v>112940</v>
      </c>
    </row>
    <row r="77" s="1" customFormat="1" ht="30" customHeight="1" spans="1:4">
      <c r="A77" s="5">
        <v>44</v>
      </c>
      <c r="B77" s="22" t="s">
        <v>122</v>
      </c>
      <c r="C77" s="7" t="s">
        <v>13</v>
      </c>
      <c r="D77" s="23">
        <v>11005</v>
      </c>
    </row>
    <row r="78" s="1" customFormat="1" ht="30" customHeight="1" spans="1:4">
      <c r="A78" s="5">
        <v>45</v>
      </c>
      <c r="B78" s="22" t="s">
        <v>123</v>
      </c>
      <c r="C78" s="7" t="s">
        <v>13</v>
      </c>
      <c r="D78" s="23">
        <v>73421</v>
      </c>
    </row>
    <row r="79" ht="30" customHeight="1" spans="1:4">
      <c r="A79" s="21" t="s">
        <v>124</v>
      </c>
      <c r="B79" s="21"/>
      <c r="C79" s="21"/>
      <c r="D79" s="21">
        <f>SUM(D33:D78)</f>
        <v>4635000</v>
      </c>
    </row>
    <row r="80" ht="30" customHeight="1" spans="1:4">
      <c r="A80" s="24" t="s">
        <v>125</v>
      </c>
      <c r="B80" s="24"/>
      <c r="C80" s="24"/>
      <c r="D80" s="24">
        <f>D30+D79</f>
        <v>6128494</v>
      </c>
    </row>
  </sheetData>
  <mergeCells count="17">
    <mergeCell ref="A1:D1"/>
    <mergeCell ref="A30:C30"/>
    <mergeCell ref="A31:D31"/>
    <mergeCell ref="A79:C79"/>
    <mergeCell ref="A80:C80"/>
    <mergeCell ref="A7:A8"/>
    <mergeCell ref="A9:A10"/>
    <mergeCell ref="A12:A13"/>
    <mergeCell ref="A60:A61"/>
    <mergeCell ref="B7:B8"/>
    <mergeCell ref="B9:B10"/>
    <mergeCell ref="B12:B13"/>
    <mergeCell ref="B60:B61"/>
    <mergeCell ref="C7:C8"/>
    <mergeCell ref="C9:C10"/>
    <mergeCell ref="C12:C13"/>
    <mergeCell ref="C60:C61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70" orientation="landscape"/>
  <headerFooter/>
  <rowBreaks count="3" manualBreakCount="3">
    <brk id="21" max="16383" man="1"/>
    <brk id="38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生成使用的</vt:lpstr>
      <vt:lpstr>给财政局的最终数据带征收计划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2022-12-15T01:42:23Z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3433A3FDE95D415BBF048CB61702427A</vt:lpwstr>
  </property>
  <property fmtid="{D5CDD505-2E9C-101B-9397-08002B2CF9AE}" pid="3" name="KSOProductBuildVer">
    <vt:lpwstr>2052-11.1.0.12980</vt:lpwstr>
  </property>
</Properties>
</file>